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.xml" ContentType="application/vnd.openxmlformats-officedocument.themeOverride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.xml" ContentType="application/vnd.openxmlformats-officedocument.themeOverride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3.xml" ContentType="application/vnd.openxmlformats-officedocument.themeOverride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6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6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ELECOMS\STOCKS\EMEA\Latam\Chile\Entel\Current model\"/>
    </mc:Choice>
  </mc:AlternateContent>
  <xr:revisionPtr revIDLastSave="0" documentId="13_ncr:1_{761B87C8-11B4-419A-845C-1A3D41E7F73E}" xr6:coauthVersionLast="47" xr6:coauthVersionMax="47" xr10:uidLastSave="{00000000-0000-0000-0000-000000000000}"/>
  <bookViews>
    <workbookView xWindow="-96" yWindow="-96" windowWidth="20928" windowHeight="12552" tabRatio="866" xr2:uid="{00000000-000D-0000-FFFF-FFFF00000000}"/>
  </bookViews>
  <sheets>
    <sheet name="Cover" sheetId="14" r:id="rId1"/>
    <sheet name="SOP" sheetId="10" r:id="rId2"/>
    <sheet name="Valuation" sheetId="6" r:id="rId3"/>
    <sheet name="Master" sheetId="12" r:id="rId4"/>
    <sheet name="New Ints" sheetId="13" r:id="rId5"/>
    <sheet name="Interims" sheetId="1" r:id="rId6"/>
    <sheet name="Earnings snaps" sheetId="15" r:id="rId7"/>
    <sheet name="Notes" sheetId="2" r:id="rId8"/>
    <sheet name="Bill" sheetId="8" r:id="rId9"/>
    <sheet name="Peru" sheetId="9" r:id="rId10"/>
    <sheet name="Analysis" sheetId="7" r:id="rId11"/>
    <sheet name="Pricing" sheetId="16" r:id="rId12"/>
    <sheet name="LILAC" sheetId="11" r:id="rId13"/>
    <sheet name="Questions" sheetId="3" r:id="rId14"/>
    <sheet name="Master old" sheetId="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_" localSheetId="9">#REF!</definedName>
    <definedName name="___">#REF!</definedName>
    <definedName name="________yr1996">#REF!</definedName>
    <definedName name="___yr1996">#REF!</definedName>
    <definedName name="__FDS_HYPERLINK_TOGGLE_STATE__" hidden="1">"ON"</definedName>
    <definedName name="_1_0Market">[1]KPN!#REF!</definedName>
    <definedName name="_1993A" localSheetId="9">#REF!</definedName>
    <definedName name="_1993A">#REF!</definedName>
    <definedName name="_1994A" localSheetId="9">#REF!</definedName>
    <definedName name="_1994A">#REF!</definedName>
    <definedName name="_1995" localSheetId="9">#REF!</definedName>
    <definedName name="_1995">#REF!</definedName>
    <definedName name="_1995A">#REF!</definedName>
    <definedName name="_1996">#REF!</definedName>
    <definedName name="_1996A">#REF!</definedName>
    <definedName name="_1997">#REF!</definedName>
    <definedName name="_1997A">#REF!</definedName>
    <definedName name="_1998">#REF!</definedName>
    <definedName name="_1998E">#REF!</definedName>
    <definedName name="_1999">#REF!</definedName>
    <definedName name="_1999E">#REF!</definedName>
    <definedName name="_2000">#REF!</definedName>
    <definedName name="_2000E">#REF!</definedName>
    <definedName name="_2001">#REF!</definedName>
    <definedName name="_2001E">#REF!</definedName>
    <definedName name="_2002">#REF!</definedName>
    <definedName name="_2002E">#REF!</definedName>
    <definedName name="_2003E">#REF!</definedName>
    <definedName name="_2004E">#REF!</definedName>
    <definedName name="_2005E">#REF!</definedName>
    <definedName name="_2B_0Working_pr">[1]KPN!#REF!</definedName>
    <definedName name="_3D_0Working_l">[1]KPN!#REF!</definedName>
    <definedName name="_Admin" hidden="1">"No"</definedName>
    <definedName name="_Fill" hidden="1">#REF!</definedName>
    <definedName name="_xlnm._FilterDatabase" hidden="1">#REF!</definedName>
    <definedName name="_GSR008" hidden="1">[2]Equipment!$E$134:$DT$134</definedName>
    <definedName name="_GSR012" hidden="1">[2]Equipment!$E$185:$DT$185</definedName>
    <definedName name="_InAdmin" hidden="1">"No"</definedName>
    <definedName name="_Key1" localSheetId="0" hidden="1">#REF!</definedName>
    <definedName name="_Key1" localSheetId="9" hidden="1">#REF!</definedName>
    <definedName name="_Key1" hidden="1">#REF!</definedName>
    <definedName name="_LegalOk" hidden="1">"No"</definedName>
    <definedName name="_MC16" hidden="1">[2]Equipment!$E$80:$DT$80</definedName>
    <definedName name="_MC28" hidden="1">[2]Equipment!$E$77:$DT$77</definedName>
    <definedName name="_Order1" hidden="1">255</definedName>
    <definedName name="_Order2" hidden="1">0</definedName>
    <definedName name="_Sort" localSheetId="0" hidden="1">#REF!</definedName>
    <definedName name="_Sort" localSheetId="9" hidden="1">#REF!</definedName>
    <definedName name="_Sort" hidden="1">#REF!</definedName>
    <definedName name="_UP" localSheetId="9">#REF!</definedName>
    <definedName name="_UP">#REF!</definedName>
    <definedName name="_yr1996" localSheetId="9">#REF!</definedName>
    <definedName name="_yr1996">#REF!</definedName>
    <definedName name="a_sted">'[3]A-sted'!$A$8:$J$52</definedName>
    <definedName name="a_sted_akk">'[3]A-sted'!$O$8:$AA$59</definedName>
    <definedName name="adfa" hidden="1">#REF!</definedName>
    <definedName name="af">#REF!</definedName>
    <definedName name="algeria">#REF!</definedName>
    <definedName name="anscount" localSheetId="0" hidden="1">2</definedName>
    <definedName name="anscount" hidden="1">1</definedName>
    <definedName name="Användare" localSheetId="9">#REF!</definedName>
    <definedName name="Användare">#REF!</definedName>
    <definedName name="AP" hidden="1">[2]Model!$E$41</definedName>
    <definedName name="aRG" localSheetId="9">#REF!</definedName>
    <definedName name="aRG">#REF!</definedName>
    <definedName name="ARPUInput" hidden="1">[2]Model!$E$142:$DT$142</definedName>
    <definedName name="asdfdf" hidden="1">{#N/A,#N/A,FALSE,"Statement of Ops";#N/A,#N/A,FALSE,"Trend Ops"}</definedName>
    <definedName name="assoc" localSheetId="9">#REF!</definedName>
    <definedName name="assoc">#REF!</definedName>
    <definedName name="Assumptions" hidden="1">[2]Model!$A$30:$A$122</definedName>
    <definedName name="Austria_telenor_mobile_export" localSheetId="9">[4]IM!#REF!</definedName>
    <definedName name="Austria_telenor_mobile_export">[4]IM!#REF!</definedName>
    <definedName name="AvgVoiceLines" hidden="1">[2]Model!$E$136:$DT$136</definedName>
    <definedName name="Balance_Sheet" hidden="1">'[2]Financial Statements'!$A$126:$A$177</definedName>
    <definedName name="bb" hidden="1">{#N/A,#N/A,FALSE,"Statement of Ops";#N/A,#N/A,FALSE,"Trend Ops"}</definedName>
    <definedName name="Belgium_Belgacom_fixed_export" localSheetId="9">#REF!</definedName>
    <definedName name="Belgium_Belgacom_fixed_export">#REF!</definedName>
    <definedName name="Belgium_Belgacom_mobile_export" localSheetId="9">#REF!</definedName>
    <definedName name="Belgium_Belgacom_mobile_export">#REF!</definedName>
    <definedName name="bondcos" localSheetId="9">#REF!</definedName>
    <definedName name="bondcos">#REF!</definedName>
    <definedName name="bondcost">#REF!</definedName>
    <definedName name="BPackClust" hidden="1">[2]Equipment!$E$226:$DT$226</definedName>
    <definedName name="BPackRTU" hidden="1">[2]Equipment!$E$220:$DT$220</definedName>
    <definedName name="BPackRTUCapex" hidden="1">[2]Capex!$E$220:$DT$220</definedName>
    <definedName name="BPackRTULife" hidden="1">[2]Capex!$C$116</definedName>
    <definedName name="BPackRTUMaint" hidden="1">[2]Capex!$E$248:$DT$248</definedName>
    <definedName name="bsminority">#REF!</definedName>
    <definedName name="BT_Att">#REF!</definedName>
    <definedName name="BT_BSMins">#REF!</definedName>
    <definedName name="BT_CFPS">#REF!</definedName>
    <definedName name="BT_CFPS_fd">#REF!</definedName>
    <definedName name="BT_DPS">#REF!</definedName>
    <definedName name="BT_DtoE">#REF!</definedName>
    <definedName name="BT_EBITDA">#REF!</definedName>
    <definedName name="BT_EPS_fd">#REF!</definedName>
    <definedName name="BT_FA">#REF!</definedName>
    <definedName name="BT_Min">#REF!</definedName>
    <definedName name="BT_Minorities">#REF!</definedName>
    <definedName name="BT_Mins">#REF!</definedName>
    <definedName name="BT_NAV">#REF!</definedName>
    <definedName name="BT_NDebt">#REF!</definedName>
    <definedName name="BT_netdebt">#REF!</definedName>
    <definedName name="BT_Provs">#REF!</definedName>
    <definedName name="BT_R">#REF!</definedName>
    <definedName name="BT_Rec">#REF!</definedName>
    <definedName name="BT_ROCE">#REF!</definedName>
    <definedName name="BT_ROE">#REF!</definedName>
    <definedName name="BT_Sales">#REF!</definedName>
    <definedName name="BT_Shf">#REF!</definedName>
    <definedName name="BT_Shissued">#REF!</definedName>
    <definedName name="BT_UK_export" localSheetId="9">[5]IM!$K$12:$AL$48</definedName>
    <definedName name="BT_UK_export">[6]IM!$K$12:$AL$48</definedName>
    <definedName name="BT_UP" localSheetId="9">#REF!</definedName>
    <definedName name="BT_UP">#REF!</definedName>
    <definedName name="BTS" hidden="1">[2]Equipment!$E$212:$DT$212</definedName>
    <definedName name="BTSAppRTUCapex" hidden="1">[2]Capex!$E$218:$DT$218</definedName>
    <definedName name="BTSAppRTULife" hidden="1">[2]Capex!$C$114</definedName>
    <definedName name="BTSAppRTUMaint" hidden="1">[2]Capex!$E$247:$DT$247</definedName>
    <definedName name="BTSLife" hidden="1">[2]Capex!$C$112</definedName>
    <definedName name="BTSPlatRTUCapex" hidden="1">[2]Capex!$E$217:$DT$217</definedName>
    <definedName name="BTSPlatRTULife" hidden="1">[2]Capex!$C$113</definedName>
    <definedName name="BTSPlatRTUMaint" hidden="1">[2]Capex!$E$246:$DT$246</definedName>
    <definedName name="BTSRTU" hidden="1">[2]Equipment!$E$206:$DT$206</definedName>
    <definedName name="CalcSetting" hidden="1">[2]Equipment!$B$10</definedName>
    <definedName name="CallMgmtPctInbound" hidden="1">[2]Model!$E$118:$DT$118</definedName>
    <definedName name="CallMgmtPctOutbound" hidden="1">[2]Model!$E$119:$DT$119</definedName>
    <definedName name="Capital_Employed" localSheetId="9">#REF!</definedName>
    <definedName name="Capital_Employed">#REF!</definedName>
    <definedName name="Card" hidden="1">[2]Equipment!$E$40:$DT$40</definedName>
    <definedName name="CardInput" hidden="1">'[2]Capex Input'!$E$48:$DT$48</definedName>
    <definedName name="cash" localSheetId="9">#REF!</definedName>
    <definedName name="cash">#REF!</definedName>
    <definedName name="Cash_Flow_Statement" hidden="1">'[2]Financial Statements'!$A$69:$A$122</definedName>
    <definedName name="casheps">#REF!</definedName>
    <definedName name="changend">#REF!</definedName>
    <definedName name="Chile">#REF!</definedName>
    <definedName name="CHT" hidden="1">[2]Equipment!$E$202:$DT$202</definedName>
    <definedName name="CHTInput" hidden="1">'[2]Capex Input'!$E$41:$DT$41</definedName>
    <definedName name="CMTSInputs" hidden="1">[2]Equipment!$E$13:$DT$57</definedName>
    <definedName name="CMTSOutputs" hidden="1">[2]Equipment!$E$59:$DT$68</definedName>
    <definedName name="CNAMPctInbound" hidden="1">[2]Model!$E$116:$DT$116</definedName>
    <definedName name="CNAMPctOutbound" hidden="1">[2]Model!$E$117:$DT$117</definedName>
    <definedName name="CodecInput" hidden="1">'[2]Capex Input'!$E$33:$DT$33</definedName>
    <definedName name="Cognit" hidden="1">[2]Equipment!$E$235:$DT$235</definedName>
    <definedName name="ColCount" hidden="1">[2]Equipment!$B$11</definedName>
    <definedName name="Company_Code">[7]Front!$E$10</definedName>
    <definedName name="Company_Name">[7]Front!$E$11</definedName>
    <definedName name="Core_old__BT_cap_ex" localSheetId="9">#REF!</definedName>
    <definedName name="Core_old__BT_cap_ex">#REF!</definedName>
    <definedName name="corecapex" localSheetId="9">#REF!</definedName>
    <definedName name="corecapex">#REF!</definedName>
    <definedName name="cost_of_capital" hidden="1">[2]Model!$E$43</definedName>
    <definedName name="CPE" localSheetId="9">#REF!</definedName>
    <definedName name="CPE">#REF!</definedName>
    <definedName name="CPULimit" hidden="1">[2]Equipment!$E$56:$DT$56</definedName>
    <definedName name="CPUPerDataSub" hidden="1">[2]Equipment!$E$36:$DT$36</definedName>
    <definedName name="CPUPerDS0" hidden="1">[2]Equipment!$E$35:$DT$35</definedName>
    <definedName name="CPUUtil" hidden="1">[2]Equipment!$E$63:$DT$63</definedName>
    <definedName name="CPUUtilData" hidden="1">[2]Equipment!$E$68:$DT$68</definedName>
    <definedName name="creditors">#REF!</definedName>
    <definedName name="cueps">#REF!</definedName>
    <definedName name="Currency">[7]Front!$E$15</definedName>
    <definedName name="Datatabell" localSheetId="9">#REF!</definedName>
    <definedName name="Datatabell">#REF!</definedName>
    <definedName name="Date">[7]Front!$E$16</definedName>
    <definedName name="DB" localSheetId="0">"WIRENYPROD"</definedName>
    <definedName name="DB">"WIREUK"</definedName>
    <definedName name="DCF_Valuation" localSheetId="9">[8]UK!#REF!</definedName>
    <definedName name="DCF_Valuation">[9]UK!#REF!</definedName>
    <definedName name="debtors" localSheetId="9">#REF!</definedName>
    <definedName name="debtors">#REF!</definedName>
    <definedName name="depre" localSheetId="9">#REF!</definedName>
    <definedName name="depre">#REF!</definedName>
    <definedName name="depreciation" localSheetId="9">#REF!</definedName>
    <definedName name="depreciation">#REF!</definedName>
    <definedName name="dere" hidden="1">{#N/A,#N/A,FALSE,"Statement of Ops";#N/A,#N/A,FALSE,"Trend Ops"}</definedName>
    <definedName name="dfdfd" hidden="1">{#N/A,#N/A,FALSE,"Statement of Ops";#N/A,#N/A,FALSE,"Trend Ops"}</definedName>
    <definedName name="dfsdf" hidden="1">{#N/A,#N/A,FALSE,"Statement of Ops";#N/A,#N/A,FALSE,"Trend Ops"}</definedName>
    <definedName name="disposals">#REF!</definedName>
    <definedName name="divpaid">#REF!</definedName>
    <definedName name="dps">#REF!</definedName>
    <definedName name="dsf" hidden="1">{#N/A,#N/A,FALSE,"Statement of Ops";#N/A,#N/A,FALSE,"Trend Ops"}</definedName>
    <definedName name="DSPerDataSub" hidden="1">[2]Equipment!$E$30:$DT$30</definedName>
    <definedName name="DSPerDataSubInput" hidden="1">'[2]Capex Input'!$E$42:$DT$42</definedName>
    <definedName name="DSPerDom" hidden="1">[2]Equipment!$E$46:$DT$46</definedName>
    <definedName name="DSPerDS0" hidden="1">[2]Equipment!$E$24:$DT$24</definedName>
    <definedName name="DSUtil" hidden="1">[2]Equipment!$E$60:$DT$60</definedName>
    <definedName name="DSUtilData" hidden="1">[2]Equipment!$E$65:$DT$65</definedName>
    <definedName name="DualPctData" hidden="1">[2]Capex!$E$32:$DT$32</definedName>
    <definedName name="DualPctVoiceInput" hidden="1">[2]Model!$E$86:$DT$86</definedName>
    <definedName name="eeeeeeeeee" hidden="1">{#N/A,#N/A,FALSE,"Statement of Ops";#N/A,#N/A,FALSE,"Trend Ops"}</definedName>
    <definedName name="EgenRappPath">#REF!</definedName>
    <definedName name="eps">#REF!</definedName>
    <definedName name="Equipment_and_CAPEX" hidden="1">[2]Model!$A$199:$A$265</definedName>
    <definedName name="erere" hidden="1">{#N/A,#N/A,FALSE,"Statement of Ops";#N/A,#N/A,FALSE,"Trend Ops"}</definedName>
    <definedName name="ererere" hidden="1">{#N/A,#N/A,FALSE,"Statement of Ops";#N/A,#N/A,FALSE,"Trend Ops"}</definedName>
    <definedName name="ErlangsPerLine" hidden="1">[2]Equipment!$E$29:$DT$29</definedName>
    <definedName name="ErlangsPerLineInput" hidden="1">'[2]Capex Input'!$E$40:$DT$40</definedName>
    <definedName name="F.1981.03">#REF!</definedName>
    <definedName name="F.1982.03">#REF!</definedName>
    <definedName name="F.1983.03">#REF!</definedName>
    <definedName name="F.1984.03">#REF!</definedName>
    <definedName name="F.1985.03">#REF!</definedName>
    <definedName name="F.1986.03">#REF!</definedName>
    <definedName name="F.1987.03">#REF!</definedName>
    <definedName name="F.1988.03">#REF!</definedName>
    <definedName name="F.1989.03">#REF!</definedName>
    <definedName name="F.1990.03">#REF!</definedName>
    <definedName name="F.1991.03">#REF!</definedName>
    <definedName name="F.1992.03">#REF!</definedName>
    <definedName name="F.1993.03">#REF!</definedName>
    <definedName name="F.1994.03">#REF!</definedName>
    <definedName name="F.1995.03">#REF!</definedName>
    <definedName name="F.1998.03">#REF!</definedName>
    <definedName name="fcf">#REF!</definedName>
    <definedName name="France_Telecom">#REF!</definedName>
    <definedName name="France_Telecom_Belgium_mobile_interconnect_receipts">#REF!</definedName>
    <definedName name="France_Telecom_Belgium_mobile_interconnect_receipts_from_fixed_operators">#REF!</definedName>
    <definedName name="France_Telecom_Belgium_mobile_interconnect_receipts_from_mobile_operators">#REF!</definedName>
    <definedName name="France_Telecom_Belgium_mobile_other_revenue">#REF!</definedName>
    <definedName name="France_Telecom_Belgium_mobile_retail_and_wholesale_services_revenue">#REF!</definedName>
    <definedName name="France_Telecom_Belgium_mobile_retail_revenue">#REF!</definedName>
    <definedName name="France_Telecom_Belgium_mobile_retail_subscribers">#REF!</definedName>
    <definedName name="France_Telecom_Belgium_mobile_revenue">#REF!</definedName>
    <definedName name="France_Telecom_Belgium_mobile_wholesale_revenue">#REF!</definedName>
    <definedName name="France_Telecom_Belgium_mobile_wholesale_subscribers">#REF!</definedName>
    <definedName name="France_Telecom_Denmark_mobile_interconnect_receipts">#REF!</definedName>
    <definedName name="France_Telecom_Denmark_mobile_interconnect_receipts_from_fixed_operators">#REF!</definedName>
    <definedName name="France_Telecom_Denmark_mobile_interconnect_receipts_from_mobile_operators">#REF!</definedName>
    <definedName name="France_Telecom_Denmark_mobile_other_revenue">#REF!</definedName>
    <definedName name="France_Telecom_Denmark_mobile_retail_and_wholesale_services_revenue">#REF!</definedName>
    <definedName name="France_Telecom_Denmark_mobile_retail_revenue">#REF!</definedName>
    <definedName name="France_Telecom_Denmark_mobile_retail_subscribers">#REF!</definedName>
    <definedName name="France_Telecom_Denmark_mobile_revenue">#REF!</definedName>
    <definedName name="France_Telecom_Denmark_mobile_wholesale_revenue">#REF!</definedName>
    <definedName name="France_Telecom_Denmark_mobile_wholesale_subscribers">#REF!</definedName>
    <definedName name="France_Telecom_Egypt_mobile_interconnect_receipts">#REF!</definedName>
    <definedName name="France_Telecom_Egypt_mobile_interconnect_receipts_from_fixed_operators">#REF!</definedName>
    <definedName name="France_Telecom_Egypt_mobile_interconnect_receipts_from_mobile_operators">#REF!</definedName>
    <definedName name="France_Telecom_Egypt_mobile_other_revenue">#REF!</definedName>
    <definedName name="France_Telecom_Egypt_mobile_retail_and_wholesale_services_revenue">#REF!</definedName>
    <definedName name="France_Telecom_Egypt_mobile_retail_revenue">#REF!</definedName>
    <definedName name="France_Telecom_Egypt_mobile_retail_subscribers">#REF!</definedName>
    <definedName name="France_Telecom_Egypt_mobile_revenue">#REF!</definedName>
    <definedName name="France_Telecom_Egypt_mobile_wholesale_revenue">#REF!</definedName>
    <definedName name="France_Telecom_Egypt_mobile_wholesale_subscribers">#REF!</definedName>
    <definedName name="France_Telecom_France_fixed_broadband_revenue__business">#REF!</definedName>
    <definedName name="France_Telecom_France_fixed_broadband_revenue__residential">#REF!</definedName>
    <definedName name="France_Telecom_France_fixed_broadband_revenue__residential___business">#REF!</definedName>
    <definedName name="France_Telecom_France_fixed_interconnect_receipts">#REF!</definedName>
    <definedName name="France_Telecom_France_fixed_interconnect_receipts_from_fixed_operators">#REF!</definedName>
    <definedName name="France_Telecom_France_fixed_interconnect_receipts_from_mobile_operators">#REF!</definedName>
    <definedName name="France_Telecom_France_fixed_other_revenue">#REF!</definedName>
    <definedName name="France_Telecom_France_fixed_retail_and_wholesale_services_revenue">#REF!</definedName>
    <definedName name="France_Telecom_France_fixed_retail_broadband_business_sites">#REF!</definedName>
    <definedName name="France_Telecom_France_fixed_retail_broadband_homes">#REF!</definedName>
    <definedName name="France_Telecom_France_fixed_retail_broadband_sites__homes_and_businesses">#REF!</definedName>
    <definedName name="France_Telecom_France_fixed_retail_business_sites">#REF!</definedName>
    <definedName name="France_Telecom_France_fixed_retail_homes">#REF!</definedName>
    <definedName name="France_Telecom_France_fixed_retail_lines__business">#REF!</definedName>
    <definedName name="France_Telecom_France_fixed_retail_lines__ISDN">#REF!</definedName>
    <definedName name="France_Telecom_France_fixed_retail_lines__PSTN">#REF!</definedName>
    <definedName name="France_Telecom_France_fixed_retail_lines__PSTN___ISDN">#REF!</definedName>
    <definedName name="France_Telecom_France_fixed_retail_lines__residential">#REF!</definedName>
    <definedName name="France_Telecom_France_fixed_retail_lines__residential___business">#REF!</definedName>
    <definedName name="France_Telecom_France_fixed_retail_revenue__business">#REF!</definedName>
    <definedName name="France_Telecom_France_fixed_retail_revenue__residential">#REF!</definedName>
    <definedName name="France_Telecom_France_fixed_retail_revenue__residential___business">#REF!</definedName>
    <definedName name="France_Telecom_France_fixed_revenue">#REF!</definedName>
    <definedName name="France_Telecom_France_fixed_wholesale_and_interconnect_services_revenue">#REF!</definedName>
    <definedName name="France_Telecom_France_fixed_wholesale_broadband_business_sites">#REF!</definedName>
    <definedName name="France_Telecom_France_fixed_wholesale_broadband_homes">#REF!</definedName>
    <definedName name="France_Telecom_France_fixed_wholesale_broadband_sites__homes_and_businesses">#REF!</definedName>
    <definedName name="France_Telecom_France_fixed_wholesale_business_sites">#REF!</definedName>
    <definedName name="France_Telecom_France_fixed_wholesale_homes">#REF!</definedName>
    <definedName name="France_Telecom_France_fixed_wholesale_lines__business">#REF!</definedName>
    <definedName name="France_Telecom_France_fixed_wholesale_lines__ISDN">#REF!</definedName>
    <definedName name="France_Telecom_France_fixed_wholesale_lines__PSTN">#REF!</definedName>
    <definedName name="France_Telecom_France_fixed_wholesale_lines__PSTN___ISDN">#REF!</definedName>
    <definedName name="France_Telecom_France_fixed_wholesale_lines__residential">#REF!</definedName>
    <definedName name="France_Telecom_France_fixed_wholesale_lines__residential___business">#REF!</definedName>
    <definedName name="France_Telecom_France_fixed_wholesale_revenue">#REF!</definedName>
    <definedName name="France_Telecom_France_mobile_interconnect_receipts">#REF!</definedName>
    <definedName name="France_Telecom_France_mobile_interconnect_receipts_from_fixed_operators">#REF!</definedName>
    <definedName name="France_Telecom_France_mobile_interconnect_receipts_from_mobile_operators">#REF!</definedName>
    <definedName name="France_Telecom_France_mobile_other_revenue">#REF!</definedName>
    <definedName name="France_Telecom_France_mobile_retail_and_wholesale_services_revenue">#REF!</definedName>
    <definedName name="France_Telecom_France_mobile_retail_revenue">#REF!</definedName>
    <definedName name="France_Telecom_France_mobile_retail_subscribers">#REF!</definedName>
    <definedName name="France_Telecom_France_mobile_revenue">#REF!</definedName>
    <definedName name="France_Telecom_France_mobile_wholesale_revenue">#REF!</definedName>
    <definedName name="France_Telecom_France_mobile_wholesale_subscribers">#REF!</definedName>
    <definedName name="France_Telecom_Netherlands_mobile_interconnect_receipts">#REF!</definedName>
    <definedName name="France_Telecom_Netherlands_mobile_interconnect_receipts_from_fixed_operators">#REF!</definedName>
    <definedName name="France_Telecom_Netherlands_mobile_interconnect_receipts_from_mobile_operators">#REF!</definedName>
    <definedName name="France_Telecom_Netherlands_mobile_other_revenue">#REF!</definedName>
    <definedName name="France_Telecom_Netherlands_mobile_retail_and_wholesale_services_revenue">#REF!</definedName>
    <definedName name="France_Telecom_Netherlands_mobile_retail_revenue">#REF!</definedName>
    <definedName name="France_Telecom_Netherlands_mobile_retail_subscribers">#REF!</definedName>
    <definedName name="France_Telecom_Netherlands_mobile_revenue">#REF!</definedName>
    <definedName name="France_Telecom_Netherlands_mobile_wholesale_revenue">#REF!</definedName>
    <definedName name="France_Telecom_Netherlands_mobile_wholesale_subscribers">#REF!</definedName>
    <definedName name="France_Telecom_Poland_fixed_broadband_revenue__business">#REF!</definedName>
    <definedName name="France_Telecom_Poland_fixed_broadband_revenue__residential">#REF!</definedName>
    <definedName name="France_Telecom_Poland_fixed_broadband_revenue__residential___business">#REF!</definedName>
    <definedName name="France_Telecom_Poland_fixed_interconnect_receipts">#REF!</definedName>
    <definedName name="France_Telecom_Poland_fixed_interconnect_receipts_from_fixed_operators">#REF!</definedName>
    <definedName name="France_Telecom_Poland_fixed_interconnect_receipts_from_mobile_operators">#REF!</definedName>
    <definedName name="France_Telecom_Poland_fixed_other_revenue">#REF!</definedName>
    <definedName name="France_Telecom_Poland_fixed_retail_and_wholesale_services_revenue">#REF!</definedName>
    <definedName name="France_Telecom_Poland_fixed_retail_broadband_business_sites">#REF!</definedName>
    <definedName name="France_Telecom_Poland_fixed_retail_broadband_homes">#REF!</definedName>
    <definedName name="France_Telecom_Poland_fixed_retail_broadband_sites__homes_and_businesses">#REF!</definedName>
    <definedName name="France_Telecom_Poland_fixed_retail_business_sites">#REF!</definedName>
    <definedName name="France_Telecom_Poland_fixed_retail_homes">#REF!</definedName>
    <definedName name="France_Telecom_Poland_fixed_retail_lines__business">#REF!</definedName>
    <definedName name="France_Telecom_Poland_fixed_retail_lines__ISDN">#REF!</definedName>
    <definedName name="France_Telecom_Poland_fixed_retail_lines__PSTN">#REF!</definedName>
    <definedName name="France_Telecom_Poland_fixed_retail_lines__PSTN___ISDN">#REF!</definedName>
    <definedName name="France_Telecom_Poland_fixed_retail_lines__residential">#REF!</definedName>
    <definedName name="France_Telecom_Poland_fixed_retail_lines__residential___business">#REF!</definedName>
    <definedName name="France_Telecom_Poland_fixed_retail_revenue__business">#REF!</definedName>
    <definedName name="France_Telecom_Poland_fixed_retail_revenue__residential">#REF!</definedName>
    <definedName name="France_Telecom_Poland_fixed_retail_revenue__residential___business">#REF!</definedName>
    <definedName name="France_Telecom_Poland_fixed_revenue">#REF!</definedName>
    <definedName name="France_Telecom_Poland_fixed_wholesale_and_interconnect_services_revenue">#REF!</definedName>
    <definedName name="France_Telecom_Poland_fixed_wholesale_broadband_business_sites">#REF!</definedName>
    <definedName name="France_Telecom_Poland_fixed_wholesale_broadband_homes">#REF!</definedName>
    <definedName name="France_Telecom_Poland_fixed_wholesale_broadband_sites__homes_and_businesses">#REF!</definedName>
    <definedName name="France_Telecom_Poland_fixed_wholesale_business_sites">#REF!</definedName>
    <definedName name="France_Telecom_Poland_fixed_wholesale_homes">#REF!</definedName>
    <definedName name="France_Telecom_Poland_fixed_wholesale_lines__business">#REF!</definedName>
    <definedName name="France_Telecom_Poland_fixed_wholesale_lines__ISDN">#REF!</definedName>
    <definedName name="France_Telecom_Poland_fixed_wholesale_lines__PSTN">#REF!</definedName>
    <definedName name="France_Telecom_Poland_fixed_wholesale_lines__PSTN___ISDN">#REF!</definedName>
    <definedName name="France_Telecom_Poland_fixed_wholesale_lines__residential">#REF!</definedName>
    <definedName name="France_Telecom_Poland_fixed_wholesale_lines__residential___business">#REF!</definedName>
    <definedName name="France_Telecom_Poland_fixed_wholesale_revenue">#REF!</definedName>
    <definedName name="France_Telecom_Poland_mobile_interconnect_receipts">#REF!</definedName>
    <definedName name="France_Telecom_Poland_mobile_interconnect_receipts_from_fixed_operators">#REF!</definedName>
    <definedName name="France_Telecom_Poland_mobile_interconnect_receipts_from_mobile_operators">#REF!</definedName>
    <definedName name="France_Telecom_Poland_mobile_other_revenue">#REF!</definedName>
    <definedName name="France_Telecom_Poland_mobile_retail_and_wholesale_services_revenue">#REF!</definedName>
    <definedName name="France_Telecom_Poland_mobile_retail_revenue">#REF!</definedName>
    <definedName name="France_Telecom_Poland_mobile_retail_subscribers">#REF!</definedName>
    <definedName name="France_Telecom_Poland_mobile_revenue">#REF!</definedName>
    <definedName name="France_Telecom_Poland_mobile_wholesale_revenue">#REF!</definedName>
    <definedName name="France_Telecom_Poland_mobile_wholesale_subscribers">#REF!</definedName>
    <definedName name="France_Telecom_Romania_mobile_interconnect_receipts">#REF!</definedName>
    <definedName name="France_Telecom_Romania_mobile_interconnect_receipts_from_fixed_operators">#REF!</definedName>
    <definedName name="France_Telecom_Romania_mobile_interconnect_receipts_from_mobile_operators">#REF!</definedName>
    <definedName name="France_Telecom_Romania_mobile_other_revenue">#REF!</definedName>
    <definedName name="France_Telecom_Romania_mobile_retail_and_wholesale_services_revenue">#REF!</definedName>
    <definedName name="France_Telecom_Romania_mobile_retail_revenue">#REF!</definedName>
    <definedName name="France_Telecom_Romania_mobile_retail_subscribers">#REF!</definedName>
    <definedName name="France_Telecom_Romania_mobile_revenue">#REF!</definedName>
    <definedName name="France_Telecom_Romania_mobile_wholesale_revenue">#REF!</definedName>
    <definedName name="France_Telecom_Romania_mobile_wholesale_subscribers">#REF!</definedName>
    <definedName name="France_Telecom_Slovakia_mobile_interconnect_receipts">#REF!</definedName>
    <definedName name="France_Telecom_Slovakia_mobile_interconnect_receipts_from_fixed_operators">#REF!</definedName>
    <definedName name="France_Telecom_Slovakia_mobile_interconnect_receipts_from_mobile_operators">#REF!</definedName>
    <definedName name="France_Telecom_Slovakia_mobile_other_revenue">#REF!</definedName>
    <definedName name="France_Telecom_Slovakia_mobile_retail_and_wholesale_services_revenue">#REF!</definedName>
    <definedName name="France_Telecom_Slovakia_mobile_retail_revenue">#REF!</definedName>
    <definedName name="France_Telecom_Slovakia_mobile_retail_subscribers">#REF!</definedName>
    <definedName name="France_Telecom_Slovakia_mobile_revenue">#REF!</definedName>
    <definedName name="France_Telecom_Slovakia_mobile_wholesale_revenue">#REF!</definedName>
    <definedName name="France_Telecom_Slovakia_mobile_wholesale_subscribers">#REF!</definedName>
    <definedName name="France_Telecom_Switzerland_mobile_interconnect_receipts">#REF!</definedName>
    <definedName name="France_Telecom_Switzerland_mobile_interconnect_receipts_from_fixed_operators">#REF!</definedName>
    <definedName name="France_Telecom_Switzerland_mobile_interconnect_receipts_from_mobile_operators">#REF!</definedName>
    <definedName name="France_Telecom_Switzerland_mobile_other_revenue">#REF!</definedName>
    <definedName name="France_Telecom_Switzerland_mobile_retail_and_wholesale_services_revenue">#REF!</definedName>
    <definedName name="France_Telecom_Switzerland_mobile_retail_revenue">#REF!</definedName>
    <definedName name="France_Telecom_Switzerland_mobile_retail_subscribers">#REF!</definedName>
    <definedName name="France_Telecom_Switzerland_mobile_revenue">#REF!</definedName>
    <definedName name="France_Telecom_Switzerland_mobile_wholesale_revenue">#REF!</definedName>
    <definedName name="France_Telecom_Switzerland_mobile_wholesale_subscribers">#REF!</definedName>
    <definedName name="France_Telecom2">#REF!</definedName>
    <definedName name="France_TelecomFrancefixedretail_revenue__residential">#REF!</definedName>
    <definedName name="FT">#REF!</definedName>
    <definedName name="g_Cumulative_Net_Income" hidden="1">[2]Results!$P$157:$AH$192</definedName>
    <definedName name="g_Discounted_Cash" hidden="1">[2]Results!$A$341:$M$376</definedName>
    <definedName name="g_Expenses" hidden="1">[2]Results!$P$203:$AH$238</definedName>
    <definedName name="g_IRR" hidden="1">[2]Results!$P$65:$AH$100</definedName>
    <definedName name="g_Net_Income" hidden="1">[2]Results!$A$157:$M$192</definedName>
    <definedName name="g_NPV" hidden="1">[2]Results!$A$65:$M$100</definedName>
    <definedName name="g_Service_Revenue" hidden="1">[2]Results!$A$203:$M$238</definedName>
    <definedName name="g_User_defined_1" hidden="1">[2]Results!$A$249:$M$284</definedName>
    <definedName name="g_User_defined_2" hidden="1">[2]Results!$P$249:$AH$284</definedName>
    <definedName name="g_User_defined_3" hidden="1">[2]Results!$A$295:$M$330</definedName>
    <definedName name="g_User_defined_4" hidden="1">[2]Results!$P$295:$AH$330</definedName>
    <definedName name="GBPUSD">[10]Summary!$C$84</definedName>
    <definedName name="gdps">#REF!</definedName>
    <definedName name="GOS" hidden="1">[2]Equipment!$E$23:$DT$23</definedName>
    <definedName name="GOSInput" hidden="1">'[2]Capex Input'!$E$36:$DT$36</definedName>
    <definedName name="Graphs" hidden="1">[2]Results!$A$49:$A$62</definedName>
    <definedName name="GrossAddDual" hidden="1">[2]Model!$E$104:$DT$104</definedName>
    <definedName name="GrossAddFromHSD" hidden="1">[2]Model!$E$102:$DT$102</definedName>
    <definedName name="GrossAddVoiceOnly" hidden="1">[2]Model!$E$100:$DT$100</definedName>
    <definedName name="GrossLineAdds" hidden="1">[2]Model!$E$107:$DT$107</definedName>
    <definedName name="GSR008Data" hidden="1">[2]Equipment!$E$143:$DT$143</definedName>
    <definedName name="GSR012Data" hidden="1">[2]Equipment!$E$191:$DT$191</definedName>
    <definedName name="GSR1OC12_CMTS" hidden="1">[2]Equipment!$E$131:$DT$131</definedName>
    <definedName name="GSR1OC12Data_CMTS" hidden="1">[2]Equipment!$E$140:$DT$140</definedName>
    <definedName name="GSR4OC12_DC" hidden="1">[2]Equipment!$E$179:$DT$179</definedName>
    <definedName name="GSR4OC12ATM" hidden="1">[2]Equipment!$E$182:$DT$182</definedName>
    <definedName name="GSR4OC12Data_DC" hidden="1">[2]Equipment!$E$188:$DT$188</definedName>
    <definedName name="GSR4OC3_CMTS" hidden="1">[2]Equipment!$E$128:$DT$128</definedName>
    <definedName name="GSR4OC3Data_CMTS" hidden="1">[2]Equipment!$E$137:$DT$137</definedName>
    <definedName name="GSRCapex" hidden="1">[2]Capex!$E$266:$DT$266</definedName>
    <definedName name="GSRLife" hidden="1">[2]Capex!$C$102</definedName>
    <definedName name="GSRMaint" hidden="1">[2]Capex!$E$291:$DT$291</definedName>
    <definedName name="h.IsCSM" hidden="1">"CSModel"</definedName>
    <definedName name="HHP" hidden="1">[2]Capex!$E$12:$DT$12</definedName>
    <definedName name="HHPInput" hidden="1">[2]Model!$E$71:$DT$71</definedName>
    <definedName name="HTML_CodePage" hidden="1">1252</definedName>
    <definedName name="HTML_Description" hidden="1">"IBN Products"</definedName>
    <definedName name="HTML_Email" hidden="1">""</definedName>
    <definedName name="HTML_Header" hidden="1">"Edit"</definedName>
    <definedName name="HTML_LastUpdate" hidden="1">"24/05/97"</definedName>
    <definedName name="HTML_LineAfter" hidden="1">FALSE</definedName>
    <definedName name="HTML_LineBefore" hidden="1">TRUE</definedName>
    <definedName name="HTML_Name" hidden="1">"Mike Bibbings"</definedName>
    <definedName name="HTML_OBDlg2" hidden="1">TRUE</definedName>
    <definedName name="HTML_OBDlg4" hidden="1">TRUE</definedName>
    <definedName name="HTML_OS" hidden="1">0</definedName>
    <definedName name="HTML_PathFile" hidden="1">"C:\My Documents\mmelHTML.htm"</definedName>
    <definedName name="HTML_Title" hidden="1">"Master Edit List"</definedName>
    <definedName name="HubSize" hidden="1">[2]Equipment!$E$17:$DT$17</definedName>
    <definedName name="HubSizeInput" hidden="1">'[2]Capex Input'!$E$27:$DT$27</definedName>
    <definedName name="I1.1989.09">[11]cuslink!#REF!</definedName>
    <definedName name="I1.1996.09" localSheetId="9">#REF!</definedName>
    <definedName name="I1.1996.09">#REF!</definedName>
    <definedName name="inccred" localSheetId="9">#REF!</definedName>
    <definedName name="inccred">#REF!</definedName>
    <definedName name="Income_Statement" hidden="1">'[2]Financial Statements'!$A$31:$A$65</definedName>
    <definedName name="income_tax_rate" hidden="1">[2]Model!$E$42</definedName>
    <definedName name="incpenprov" localSheetId="9">#REF!</definedName>
    <definedName name="incpenprov">#REF!</definedName>
    <definedName name="increc">#REF!</definedName>
    <definedName name="incstock">#REF!</definedName>
    <definedName name="Intangible_Fixed_Assets">#REF!</definedName>
    <definedName name="InTC">#REF!</definedName>
    <definedName name="investment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39420.5584027778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smin">#REF!</definedName>
    <definedName name="issord">#REF!</definedName>
    <definedName name="ITC">#REF!</definedName>
    <definedName name="k_kost">'[3]K-kost'!$A$9:$J$37</definedName>
    <definedName name="k_kost_akk">'[3]K-kost'!$O$8:$AA$42</definedName>
    <definedName name="kjhkjh">#REF!</definedName>
    <definedName name="kk" hidden="1">#REF!</definedName>
    <definedName name="Kopieringsområde">'[12]Business Sol'!$A$7:$K$77</definedName>
    <definedName name="LATASize" hidden="1">[2]Equipment!$E$149:$DT$149</definedName>
    <definedName name="LATASizeInput" hidden="1">'[2]Capex Input'!$E$28:$DT$28</definedName>
    <definedName name="Leased" localSheetId="9">#REF!</definedName>
    <definedName name="Leased">#REF!</definedName>
    <definedName name="LegalOk" hidden="1">"No"</definedName>
    <definedName name="limcount" hidden="1">1</definedName>
    <definedName name="Linerent" localSheetId="9">#REF!</definedName>
    <definedName name="Linerent">#REF!</definedName>
    <definedName name="Lines_per_100_pop" localSheetId="9">#REF!</definedName>
    <definedName name="Lines_per_100_pop">#REF!</definedName>
    <definedName name="LinesPerFN" hidden="1">[2]Equipment!$E$15:$DT$15</definedName>
    <definedName name="LinesPerSubInput" hidden="1">[2]Model!$E$77:$DT$77</definedName>
    <definedName name="lkjh">#REF!</definedName>
    <definedName name="lll" hidden="1">{#N/A,#N/A,FALSE,"Statement of Ops";#N/A,#N/A,FALSE,"Trend Ops"}</definedName>
    <definedName name="llll" hidden="1">{#N/A,#N/A,FALSE,"Statement of Ops";#N/A,#N/A,FALSE,"Trend Ops"}</definedName>
    <definedName name="lllll" hidden="1">{#N/A,#N/A,FALSE,"Statement of Ops";#N/A,#N/A,FALSE,"Trend Ops"}</definedName>
    <definedName name="LNPPct" hidden="1">[2]Model!$E$120:$DT$120</definedName>
    <definedName name="LookupAppRTU" hidden="1">'[2]BTS Tables'!$B$30:$B$81</definedName>
    <definedName name="LookupCPS" hidden="1">'[2]BTS Tables'!$A$3:$A$27</definedName>
    <definedName name="LookupLines" hidden="1">'[2]BTS Tables'!$A$30:$A$81</definedName>
    <definedName name="LookupPlatRTU" hidden="1">'[2]BTS Tables'!$B$3:$B$27</definedName>
    <definedName name="Lösenord">#REF!</definedName>
    <definedName name="ltd">#REF!</definedName>
    <definedName name="måned">[13]Grunndata!$B$3:$C$14</definedName>
    <definedName name="MC16Data" hidden="1">[2]Equipment!$E$98:$DT$98</definedName>
    <definedName name="MC28Data" hidden="1">[2]Equipment!$E$95:$DT$95</definedName>
    <definedName name="md" hidden="1">[2]Model!$E$52</definedName>
    <definedName name="MGX" hidden="1">[2]Equipment!$E$161:$DT$161</definedName>
    <definedName name="MGXCapex" hidden="1">[2]Capex!$E$267:$DT$267</definedName>
    <definedName name="MGXLife" hidden="1">[2]Capex!$C$108</definedName>
    <definedName name="MGXMaint" hidden="1">[2]Capex!$E$292:$DT$292</definedName>
    <definedName name="minority" localSheetId="9">#REF!</definedName>
    <definedName name="minority">#REF!</definedName>
    <definedName name="MinPerLineLocal" hidden="1">[2]Model!$E$111:$DT$111</definedName>
    <definedName name="MinPerLineToll" hidden="1">[2]Model!$E$112:$DT$112</definedName>
    <definedName name="Mobile" localSheetId="9">#REF!</definedName>
    <definedName name="Mobile">#REF!</definedName>
    <definedName name="mv" hidden="1">[2]Model!$E$51</definedName>
    <definedName name="Net_Assets" localSheetId="9">#REF!</definedName>
    <definedName name="Net_Assets">#REF!</definedName>
    <definedName name="Net_Profit_SGW_Adjusted_">#REF!</definedName>
    <definedName name="netint">#REF!</definedName>
    <definedName name="netprofit">#REF!</definedName>
    <definedName name="ni_divs">#REF!</definedName>
    <definedName name="nidivs">#REF!</definedName>
    <definedName name="oldcueps">#REF!</definedName>
    <definedName name="OnNetMaxInput" hidden="1">'[2]Capex Input'!$E$29:$DT$29</definedName>
    <definedName name="Operations" hidden="1">[2]Model!$A$269:$A$412</definedName>
    <definedName name="oppro">#REF!</definedName>
    <definedName name="opprofit">#REF!</definedName>
    <definedName name="Oss">#REF!</definedName>
    <definedName name="OSSInput" hidden="1">'[2]Capex Input'!$E$144:$DT$144</definedName>
    <definedName name="Other_Long_Term_Liabilities">#REF!</definedName>
    <definedName name="Otherinc">#REF!</definedName>
    <definedName name="Otherop">#REF!</definedName>
    <definedName name="Otheropcf">#REF!</definedName>
    <definedName name="ownwork">#REF!</definedName>
    <definedName name="p" hidden="1">[2]Model!$E$53</definedName>
    <definedName name="pakistan">#REF!</definedName>
    <definedName name="pbt">#REF!</definedName>
    <definedName name="PentrData" hidden="1">[2]Equipment!$E$4:$DT$4</definedName>
    <definedName name="PentrDataInput" hidden="1">[2]Model!$E$76:$DT$76</definedName>
    <definedName name="PentrVoice" hidden="1">[2]Equipment!$E$2:$DT$2</definedName>
    <definedName name="PentrVoiceInput" hidden="1">[2]Model!$E$75:$DT$75</definedName>
    <definedName name="Period">[7]Front!$E$12</definedName>
    <definedName name="Peru" localSheetId="9">#REF!</definedName>
    <definedName name="Peru">#REF!</definedName>
    <definedName name="PHSInput" hidden="1">'[2]Capex Input'!$E$35:$DT$35</definedName>
    <definedName name="PlatformInput" hidden="1">'[2]Capex Input'!$E$47:$DT$47</definedName>
    <definedName name="_xlnm.Print_Area" localSheetId="0">#REF!</definedName>
    <definedName name="_xlnm.Print_Area" localSheetId="2">Valuation!$A$1:$AD$62</definedName>
    <definedName name="_xlnm.Print_Area">#N/A</definedName>
    <definedName name="_xlnm.Print_Titles" localSheetId="0">#REF!</definedName>
    <definedName name="_xlnm.Print_Titles">#N/A</definedName>
    <definedName name="proforma" localSheetId="9">[14]proforma!#REF!</definedName>
    <definedName name="proforma">[14]proforma!#REF!</definedName>
    <definedName name="ProjectName" localSheetId="9">{"Client Name or Project Name"}</definedName>
    <definedName name="ProjectName">{"Client Name or Project Name"}</definedName>
    <definedName name="PT_Portugal_fixed_export">#REF!</definedName>
    <definedName name="PT_Portugal_mobile_export">#REF!</definedName>
    <definedName name="Purchase_of_tangible_fixed_assets">#REF!</definedName>
    <definedName name="purfai">#REF!</definedName>
    <definedName name="pursub">#REF!</definedName>
    <definedName name="purtfa">#REF!</definedName>
    <definedName name="Q1.1996.06">#REF!</definedName>
    <definedName name="Q1_Account">#REF!</definedName>
    <definedName name="Q1_Coding">#REF!</definedName>
    <definedName name="Q1_Data">#REF!</definedName>
    <definedName name="Q1_Period">#REF!</definedName>
    <definedName name="Q1_TP">#REF!</definedName>
    <definedName name="Q2.1996.09">#REF!</definedName>
    <definedName name="Q2_Account">#REF!</definedName>
    <definedName name="Q2_Coding">#REF!</definedName>
    <definedName name="Q2_Data">#REF!</definedName>
    <definedName name="Q2_Period">#REF!</definedName>
    <definedName name="Q2_TP">#REF!</definedName>
    <definedName name="Q3.1996.12">#REF!</definedName>
    <definedName name="Q3_Account">#REF!</definedName>
    <definedName name="Q3_Coding">#REF!</definedName>
    <definedName name="Q3_Data">#REF!</definedName>
    <definedName name="Q3_Period">#REF!</definedName>
    <definedName name="Q3_TP">#REF!</definedName>
    <definedName name="Q4_Account">#REF!</definedName>
    <definedName name="Q4_Coding">#REF!</definedName>
    <definedName name="Q4_Data">#REF!</definedName>
    <definedName name="Q4_Period">#REF!</definedName>
    <definedName name="Q4_TP">#REF!</definedName>
    <definedName name="QC用労働時間有">'[15]03FY 2nd Hafl Latest Estimate'!$A$1:$A$2638</definedName>
    <definedName name="QC用労働時間無">'[15]03FY 2nd Hafl Latest Estimate'!$A$1:$D$618</definedName>
    <definedName name="RapportTyp">#REF!</definedName>
    <definedName name="Redundancy">#REF!</definedName>
    <definedName name="RedundantEdgeInput" hidden="1">'[2]Capex Input'!$E$51:$DT$51</definedName>
    <definedName name="RedundantGWInput" hidden="1">'[2]Capex Input'!$E$53:$DT$53</definedName>
    <definedName name="RedundNInput" hidden="1">'[2]Capex Input'!$E$58:$DT$58</definedName>
    <definedName name="Repdate1">#REF!</definedName>
    <definedName name="Repdate2">#REF!</definedName>
    <definedName name="res_2002">#REF!</definedName>
    <definedName name="res_2002_a">#REF!</definedName>
    <definedName name="Revenue">#REF!</definedName>
    <definedName name="RevFixed_05">[16]TPSA_Model!$O$468</definedName>
    <definedName name="RF" hidden="1">[2]Equipment!$E$92:$DT$92</definedName>
    <definedName name="RFData" hidden="1">[2]Equipment!$E$110:$DT$110</definedName>
    <definedName name="rngColData">'[17]RevCost Report'!$G$1:$Y$65536,'[17]RevCost Report'!$AA$1:$BV$65536</definedName>
    <definedName name="rngColHidden">'[17]RevCost Report'!$A$1:$B$65536,'[17]RevCost Report'!$D$1:$D$65536</definedName>
    <definedName name="rngHideMissingColumns">FALSE</definedName>
    <definedName name="rngHideMissingRows">FALSE</definedName>
    <definedName name="rngRowHidden">'[17]RevCost Report'!$A$4:$IV$5,'[17]RevCost Report'!$A$11:$IV$17</definedName>
    <definedName name="RoutesPerLATA" hidden="1">[2]Model!$E$114:$DT$114</definedName>
    <definedName name="Rpt_Month">[18]★ﾒﾆｭｰ!$I$31</definedName>
    <definedName name="Rpt_Year">[18]★ﾒﾆｭｰ!$I$30</definedName>
    <definedName name="salefa" localSheetId="9">#REF!</definedName>
    <definedName name="salefa">#REF!</definedName>
    <definedName name="SalvagePct" hidden="1">[2]Model!$E$38</definedName>
    <definedName name="SampleInput" hidden="1">'[2]Capex Input'!$E$34:$DT$34</definedName>
    <definedName name="SAPBEXhrIndnt" hidden="1">1</definedName>
    <definedName name="SAPBEXrevision" hidden="1">0</definedName>
    <definedName name="SAPBEXsysID" hidden="1">"UBP"</definedName>
    <definedName name="SAPBEXwbID" hidden="1">"46ZQZIX9P9TMSSGKMZCTXHTXP"</definedName>
    <definedName name="sdsdsd" hidden="1">{#N/A,#N/A,FALSE,"Statement of Ops";#N/A,#N/A,FALSE,"Trend Ops"}</definedName>
    <definedName name="SecretArchiveNumber" hidden="1">1</definedName>
    <definedName name="Select_Inc_Exp">[19]Ref!$B$12</definedName>
    <definedName name="sencount" localSheetId="0" hidden="1">2</definedName>
    <definedName name="sencount" hidden="1">1</definedName>
    <definedName name="ServerHWCapex" hidden="1">[2]Capex!$E$268:$DT$268</definedName>
    <definedName name="ServerHWMaint" hidden="1">[2]Capex!$E$293:$DT$293</definedName>
    <definedName name="Services_and_Revenue" hidden="1">[2]Model!$A$126:$A$195</definedName>
    <definedName name="sfsdf" hidden="1">{#N/A,#N/A,FALSE,"Statement of Ops";#N/A,#N/A,FALSE,"Trend Ops"}</definedName>
    <definedName name="sharecap" localSheetId="9">#REF!</definedName>
    <definedName name="sharecap">#REF!</definedName>
    <definedName name="Sheetname_Instructions">[19]Ref!#REF!</definedName>
    <definedName name="show_base">[19]WaterFall_Prep!$U$1</definedName>
    <definedName name="show_newbase">[19]WaterFall_Prep!$W$1</definedName>
    <definedName name="show_pctchange">[19]WaterFall_Prep!$Y$1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PAPrint">[20]SPA!$A$1:$AD$48,[20]SPA!$A$90:$AD$137</definedName>
    <definedName name="Staff" localSheetId="9">#REF!</definedName>
    <definedName name="Staff">#REF!</definedName>
    <definedName name="staffcosts" localSheetId="9">#REF!</definedName>
    <definedName name="staffcosts">#REF!</definedName>
    <definedName name="std">#REF!</definedName>
    <definedName name="stocks">#REF!</definedName>
    <definedName name="subs1" hidden="1">{"Monthly Rev",#N/A,FALSE,"DetRev";"Monthly Tech",#N/A,FALSE,"DetTech";"Monthly CSR",#N/A,FALSE,"DetCSR";"Monthly Mrkt",#N/A,FALSE,"DetMrkt";"Monthly Online",#N/A,FALSE,"DetOnline";"Monthly AdSales",#N/A,FALSE,"DetAdSales";"Monthly LO",#N/A,FALSE,"DETLO";"Monthly Admin",#N/A,FALSE,"DetAdmin";"Monthly Prod",#N/A,FALSE,"DetProd";"Headcount Monthly",#N/A,FALSE,"Headcount"}</definedName>
    <definedName name="subtotal">[21]基礎ﾃﾞｰﾀ!#REF!</definedName>
    <definedName name="sweden_telenor_mobile_export">[4]IM!#REF!</definedName>
    <definedName name="TA">[15]Sheet3!$A$1:$E$196</definedName>
    <definedName name="Tangible_Fixed_Assets" localSheetId="9">#REF!</definedName>
    <definedName name="Tangible_Fixed_Assets">#REF!</definedName>
    <definedName name="tax" localSheetId="9">#REF!</definedName>
    <definedName name="tax">#REF!</definedName>
    <definedName name="taxpaid" localSheetId="9">#REF!</definedName>
    <definedName name="taxpaid">#REF!</definedName>
    <definedName name="telcopay">#REF!</definedName>
    <definedName name="Telesp">#REF!</definedName>
    <definedName name="Template.WIRE">"DBACCESS"</definedName>
    <definedName name="tfa" localSheetId="9">#REF!</definedName>
    <definedName name="tfa">#REF!</definedName>
    <definedName name="Total_lines" localSheetId="9">#REF!</definedName>
    <definedName name="Total_lines">#REF!</definedName>
    <definedName name="Trace">FALSE</definedName>
    <definedName name="Transaction_Type">[7]Front!$E$20</definedName>
    <definedName name="Trend_Start">[18]★ﾒﾆｭｰ!$L$31</definedName>
    <definedName name="uBR10Data" hidden="1">[2]Equipment!$E$100:$DT$100</definedName>
    <definedName name="uBR1OC12" hidden="1">[2]Equipment!$E$91:$DT$91</definedName>
    <definedName name="uBR1OC12Data" hidden="1">[2]Equipment!$E$109:$DT$109</definedName>
    <definedName name="uBR1OC3" hidden="1">[2]Equipment!$E$88:$DT$88</definedName>
    <definedName name="uBR1OC3Data" hidden="1">[2]Equipment!$E$106:$DT$106</definedName>
    <definedName name="uBR7Data" hidden="1">[2]Equipment!$E$103:$DT$103</definedName>
    <definedName name="uBRCapex" hidden="1">[2]Capex!$E$265:$DT$265</definedName>
    <definedName name="uBRLife" hidden="1">[2]Capex!$C$92</definedName>
    <definedName name="uBRMaint" hidden="1">[2]Capex!$E$290:$DT$290</definedName>
    <definedName name="UK_population__ms" localSheetId="9">#REF!</definedName>
    <definedName name="UK_population__ms">#REF!</definedName>
    <definedName name="UKPrint">[20]UK!$A$90:$AD$137,[20]UK!$A$1:$AD$48</definedName>
    <definedName name="unadjusted" localSheetId="9">#REF!</definedName>
    <definedName name="unadjusted">#REF!</definedName>
    <definedName name="uOne" hidden="1">[2]Equipment!$E$259:$DT$259</definedName>
    <definedName name="UpgradeVersion">"v2.35"</definedName>
    <definedName name="UPIBVPrint">[20]UPIBV!$A$1:$AD$48,[20]UPIBV!$A$90:$AD$137</definedName>
    <definedName name="UPIOPrint">[20]UPIO!$A$90:$AD$137,[20]UPIO!$A$1:$AD$48</definedName>
    <definedName name="UPVPPrint">[20]UPVP!$A$1:$AD$48,[20]UPVP!$A$90:$AD$137</definedName>
    <definedName name="USBandwidth" hidden="1">[2]Equipment!$E$54:$DT$54</definedName>
    <definedName name="USDBRL">[10]Summary!$C$86</definedName>
    <definedName name="USDJPY">[10]Summary!$C$87</definedName>
    <definedName name="UsefulLife" hidden="1">[2]Model!$E$37</definedName>
    <definedName name="USPerDataSub" hidden="1">[2]Equipment!$E$31:$DT$31</definedName>
    <definedName name="USPerDataSubInput" hidden="1">'[2]Capex Input'!$E$43:$DT$43</definedName>
    <definedName name="USPerDom" hidden="1">[2]Equipment!$E$47:$DT$47</definedName>
    <definedName name="USPerDS0" hidden="1">[2]Equipment!$E$25:$DT$25</definedName>
    <definedName name="USUtil" hidden="1">[2]Equipment!$E$61:$DT$61</definedName>
    <definedName name="USUtilData" hidden="1">[2]Equipment!$E$66:$DT$66</definedName>
    <definedName name="valuearea">[22]data!$AQ$26:$CS$864</definedName>
    <definedName name="variance_logic">#REF!</definedName>
    <definedName name="VerintFixed" hidden="1">[2]Equipment!$E$244:$DT$244</definedName>
    <definedName name="VerintVar" hidden="1">[2]Equipment!$E$250:$DT$250</definedName>
    <definedName name="Version.WIRE">1</definedName>
    <definedName name="vis_måned">[13]Grunndata!$A$3:$B$14</definedName>
    <definedName name="VISM" hidden="1">[2]Equipment!$E$159:$DT$159</definedName>
    <definedName name="VoiceLines" hidden="1">[2]Model!$E$83:$DT$83</definedName>
    <definedName name="VoiceSubs" hidden="1">[2]Model!$E$81:$DT$81</definedName>
    <definedName name="WANBandwidth" hidden="1">[2]Equipment!$E$55:$DT$55</definedName>
    <definedName name="WANPerDataSub" hidden="1">[2]Equipment!$E$32:$DT$32</definedName>
    <definedName name="WANPerDS0" hidden="1">[2]Equipment!$E$26:$DT$26</definedName>
    <definedName name="WANUtil" hidden="1">[2]Equipment!$E$62:$DT$62</definedName>
    <definedName name="WANUtilData" hidden="1">[2]Equipment!$E$67:$DT$67</definedName>
    <definedName name="WhoIs" hidden="1">"Developed by Cisco Systems, August 2002"</definedName>
    <definedName name="Workbook.Author" localSheetId="9">#REF!</definedName>
    <definedName name="Workbook.Author">[23]Contents!$B$14</definedName>
    <definedName name="Workbook.Authors_Email_Address" localSheetId="9">#REF!</definedName>
    <definedName name="Workbook.Authors_Email_Address">[23]Contents!$B$15</definedName>
    <definedName name="Workbook.Objective" localSheetId="9">#REF!</definedName>
    <definedName name="Workbook.Objective">[23]Contents!$B$6</definedName>
    <definedName name="Workbook.Status" localSheetId="9">#REF!</definedName>
    <definedName name="Workbook.Status">[23]Contents!$B$9</definedName>
    <definedName name="Workbook.Title" localSheetId="9">#REF!</definedName>
    <definedName name="Workbook.Title">[23]Contents!$B$5</definedName>
    <definedName name="Workbook.Version" localSheetId="9">#REF!</definedName>
    <definedName name="Workbook.Version">[23]Contents!$B$8</definedName>
    <definedName name="WORKBOOK_SAPBEXq0003" comment="DP_4">"DP_4"</definedName>
    <definedName name="WORKBOOK_SAPBEXq0004" comment="DP_5">"DP_5"</definedName>
    <definedName name="WORKBOOK_SAPBEXq0009" comment="DP_6">"DP_6"</definedName>
    <definedName name="WORKBOOK_SAPBEXq0010" comment="DP_7">"DP_7"</definedName>
    <definedName name="WORKBOOK_SAPBEXq0011" comment="DP_8">"DP_8"</definedName>
    <definedName name="WORKBOOK_SAPBEXq0012" comment="DP_9">"DP_9"</definedName>
    <definedName name="WORKBOOK_SAPBEXq0015" comment="DP_10">"DP_10"</definedName>
    <definedName name="wrn.4Q._.Report." hidden="1">{"Summary OCF",#N/A,FALSE,"Summary OCF";"Rev &amp; OCF",#N/A,FALSE,"Revenue and OCF";"Exp",#N/A,FALSE,"Expenses";"Subs",#N/A,FALSE,"Subscribers"}</definedName>
    <definedName name="wrn.Budget._.Annual." hidden="1">{"Annual P&amp;L",#N/A,TRUE,"P&amp;L";"Annual Revenue 1",#N/A,TRUE,"DetRev";"Annual Revenue 2",#N/A,TRUE,"DetRev";"Annual Tech",#N/A,TRUE,"DetTech";"Annual Customer Service",#N/A,TRUE,"DetCSR";"Annual Marketing",#N/A,TRUE,"DetMrkt";"Annual Online",#N/A,TRUE,"DetOnline";"Annual Telephony",#N/A,TRUE,"DetTelephony";"Annual Adsales",#N/A,TRUE,"DetAdSales";"Annual LO",#N/A,TRUE,"DETLO";"Annual Administration",#N/A,TRUE,"DetAdmin";"Annual Product",#N/A,TRUE,"DetProd";"Annual Manpower",#N/A,TRUE,"Manpower Summary"}</definedName>
    <definedName name="wrn.Budget._.Trend." hidden="1">{"Trend P&amp;L",#N/A,TRUE,"P&amp;L";"Trend Revenue 1",#N/A,TRUE,"DetRev";"Trend Revenue 2",#N/A,TRUE,"DetRev";"Trend Tech",#N/A,TRUE,"DetTech";"Trend Customer Service",#N/A,TRUE,"DetCSR";"Trend Marketing",#N/A,TRUE,"DetMrkt";"Trend Online",#N/A,TRUE,"DetOnline";"Trend Telephony",#N/A,TRUE,"DetTelephony";"Trend Adsales",#N/A,TRUE,"DetAdSales";"Trend LO",#N/A,TRUE,"DETLO";"Trend Administration",#N/A,TRUE,"DetAdmin";"Trend Product",#N/A,TRUE,"DetProd"}</definedName>
    <definedName name="wrn.Cable._.Headcount._.Reports." hidden="1">{"Headcount Annual",#N/A,FALSE,"Headcount";"Headcount Monthly",#N/A,FALSE,"Headcount"}</definedName>
    <definedName name="wrn.Capital." hidden="1">{"Capital",#N/A,FALSE,"CapSum"}</definedName>
    <definedName name="wrn.Capital._.Report." hidden="1">{"Capital",#N/A,FALSE,"CapSum"}</definedName>
    <definedName name="wrn.Capital._.Reports." hidden="1">{"Capital Summary",#N/A,FALSE,"CapSum";"Other Capital",#N/A,FALSE,"CapDet";"Construction Report",#N/A,FALSE,"ConstRep"}</definedName>
    <definedName name="wrn.Capital._.Summary." hidden="1">{"Capital",#N/A,FALSE,"CapSum"}</definedName>
    <definedName name="wrn.Current._.Month." hidden="1">{"current month",#N/A,FALSE,"Capitalization"}</definedName>
    <definedName name="wrn.Digital._.Sub._.Detail." hidden="1">{"Digital Detail",#N/A,FALSE,"Digital"}</definedName>
    <definedName name="wrn.Financial._.Reports." hidden="1">{#N/A,#N/A,FALSE,"Statement of Ops";#N/A,#N/A,FALSE,"Trend Ops";#N/A,#N/A,FALSE,"Revenue";#N/A,#N/A,FALSE,"Trend Rev";#N/A,#N/A,FALSE,"Tech";#N/A,#N/A,FALSE,"Trend Tech";#N/A,#N/A,FALSE,"Cust Serv";#N/A,#N/A,FALSE,"Trend Cust Serv";#N/A,#N/A,FALSE,"Marketing";#N/A,#N/A,FALSE,"Trend Marketing";#N/A,#N/A,FALSE,"Online";#N/A,#N/A,FALSE,"Trend Online";#N/A,#N/A,FALSE,"Telephony";#N/A,#N/A,FALSE,"Trend Telephony";#N/A,#N/A,FALSE,"Ad Sales";#N/A,#N/A,FALSE,"Trend Ad Sales";#N/A,#N/A,FALSE,"LO";#N/A,#N/A,FALSE,"Trend LO";#N/A,#N/A,FALSE,"Admin";#N/A,#N/A,FALSE,"Trend Admin";#N/A,#N/A,FALSE,"Product";#N/A,#N/A,FALSE,"Trend Product"}</definedName>
    <definedName name="wrn.Monthly._.Financial._.Reports." hidden="1">{"Monthly Rev",#N/A,FALSE,"DetRev";"Monthly Tech",#N/A,FALSE,"DetTech";"Monthly CSR",#N/A,FALSE,"DetCSR";"Monthly Mrkt",#N/A,FALSE,"DetMrkt";"Monthly Online",#N/A,FALSE,"DetOnline";"Monthly AdSales",#N/A,FALSE,"DetAdSales";"Monthly LO",#N/A,FALSE,"DETLO";"Monthly Admin",#N/A,FALSE,"DetAdmin";"Monthly Prod",#N/A,FALSE,"DetProd";"Headcount Monthly",#N/A,FALSE,"Headcount"}</definedName>
    <definedName name="wrn.No._.Ad._.Sales._.Reports." hidden="1">{"Annual P&amp;L NoAd",#N/A,FALSE,"P&amp;L No Ad Sales";"Annual Rev NoAd",#N/A,FALSE,"DetRev No Ad Sales";"Monthly P&amp;L NoAd",#N/A,FALSE,"P&amp;L No Ad Sales";"Monthly Rev NoAd",#N/A,FALSE,"DetRev No Ad Sales"}</definedName>
    <definedName name="wrn.No._.AdSales._.Annual." hidden="1">{"P&amp;L No Ads Annual",#N/A,TRUE,"P&amp;L No Ad Sales";"Revenue No Ads Annual",#N/A,TRUE,"DetRev No Ad Sales"}</definedName>
    <definedName name="wrn.No._.AdSales._.Financial." hidden="1">{"Annual P&amp;L No Ads",#N/A,TRUE,"Trend No AdSales";"Monthly P&amp;L No Ads",#N/A,TRUE,"Trend No AdSales";"Annual Rev no Ads",#N/A,TRUE,"Trend Rev No AdSales";"Monthly Rev No Ads",#N/A,TRUE,"Trend Rev No AdSales"}</definedName>
    <definedName name="wrn.No._.Adsales._.Reports." hidden="1">{"Trend P&amp;L No Adsales",#N/A,TRUE,"P&amp;L No Ad Sales";"Annual P&amp;L No Adsales",#N/A,TRUE,"P&amp;L No Ad Sales";"Trend Revenue no Adsales",#N/A,TRUE,"DetRev No AdSales";"Annual Revenue No AdSales",#N/A,TRUE,"DetRev No AdSales"}</definedName>
    <definedName name="wrn.No._.AdSales._.Trend." hidden="1">{"P&amp;L No Ads Trend",#N/A,TRUE,"P&amp;L No Ad Sales";"Revenue No Ads Trend",#N/A,TRUE,"DetRev No Ad Sales"}</definedName>
    <definedName name="wrn.Online._.Headcount._.Reports." hidden="1">{"Online Headcount Annual",#N/A,FALSE,"Headcount";"Online Headcount Monthly",#N/A,FALSE,"Headcount"}</definedName>
    <definedName name="wrn.Online._.Sub._.Detail." hidden="1">{"Online Detail",#N/A,FALSE,"OnLine"}</definedName>
    <definedName name="wrn.PandL." localSheetId="9" hidden="1">{"P&amp;L",#N/A,FALSE,"annual"}</definedName>
    <definedName name="wrn.PandL." hidden="1">{"P&amp;L",#N/A,FALSE,"annual"}</definedName>
    <definedName name="wrn.Pay._.Sub._.Detail." hidden="1">{"Pay Detail",#N/A,FALSE,"Pay"}</definedName>
    <definedName name="wrn.Trend." hidden="1">{"trend",#N/A,TRUE,"Capitalization"}</definedName>
    <definedName name="wrn.Trend._.Reports." hidden="1">{"P&amp;L Trend",#N/A,TRUE,"P&amp;L";"Revenue Trend",#N/A,TRUE,"DetRev";"Tech Trend",#N/A,TRUE,"DetTech";"Customer Service Trend",#N/A,TRUE,"DetCSR";"Marketing Trend",#N/A,TRUE,"DetMrkt";"Online Trend",#N/A,TRUE,"DetOnline";"Telephony Trend",#N/A,TRUE,"DetTelephony";"Adsales Trend",#N/A,TRUE,"DetAdSales";"LO Trend",#N/A,TRUE,"DETLO";"Admin Trend",#N/A,TRUE,"DetAdmin";"Product Trend",#N/A,TRUE,"DetProd"}</definedName>
    <definedName name="wrn.Vodafone._.printout." localSheetId="9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rn.Vodafone._.printout." hidden="1">{"Groupannual",#N/A,FALSE,"Groupannual";"VodMann",#N/A,FALSE,"VodMann";"Data",#N/A,FALSE,"Data";"Group International",#N/A,FALSE,"Group International";"BellAir",#N/A,FALSE,"BellAir";"DCF sum of parts",#N/A,FALSE,"DCF sum of parts";"licences",#N/A,FALSE,"licences"}</definedName>
    <definedName name="wwwwwwwwwwwww" hidden="1">{#N/A,#N/A,FALSE,"Statement of Ops";#N/A,#N/A,FALSE,"Trend Ops"}</definedName>
    <definedName name="xxxx" hidden="1">{"P&amp;L Annual",#N/A,FALSE,"P&amp;L";"Rev Annual",#N/A,FALSE,"DetRev";"Tech Annual",#N/A,FALSE,"DetTech";"CSR Annual",#N/A,FALSE,"DetCSR";"Marketing Annual",#N/A,FALSE,"DetMrkt";"Ad Sales Annual",#N/A,FALSE,"DetAdSales";"LO Annual",#N/A,FALSE,"DETLO";"Admin Annual",#N/A,FALSE,"DetAdmin";"Product Annual",#N/A,FALSE,"DetProd"}</definedName>
    <definedName name="Year_ending_March" localSheetId="9">#REF!</definedName>
    <definedName name="Year_ending_March">#REF!</definedName>
    <definedName name="years" localSheetId="9">#REF!</definedName>
    <definedName name="years">#REF!</definedName>
    <definedName name="Yellow" localSheetId="9">#REF!</definedName>
    <definedName name="Yellow">#REF!</definedName>
    <definedName name="YTDcomrange1">#REF!</definedName>
    <definedName name="YTDcomrange2">#REF!</definedName>
    <definedName name="Z_FB9FEF07_E23D_4093_B787_DA7C6E65880F_.wvu.PrintTitles" hidden="1">'[24]Inputs - Debt Roll'!$A$1:$F$65536,'[24]Inputs - Debt Roll'!$A$1:$IV$9</definedName>
    <definedName name="ｸﾞﾚｰ">'[25]ﾃﾞｰﾀ加工(MTD)'!$EY$4</definedName>
    <definedName name="ｸﾞﾚｰY">'[25]ﾃﾞｰﾀ加工(YTD)'!$EY$4</definedName>
    <definedName name="チケット別日別販売実績_DAT">#REF!</definedName>
    <definedName name="ベニューリスト">#REF!</definedName>
    <definedName name="元DATA">'[15]03FY 2nd Hafl Latest Estimate'!$B$2:$J$1450</definedName>
    <definedName name="利益処分計算">'[15]03FY 2nd Hafl Latest Estimate'!#REF!</definedName>
    <definedName name="勘定科目">#REF!</definedName>
    <definedName name="印刷01">'[15]03FY 2nd Hafl Latest Estimate'!$B$4:$Z$399</definedName>
    <definedName name="印刷02">'[15]03FY 2nd Hafl Latest Estimate'!$B$400:$Z$474</definedName>
    <definedName name="反転">'[25]ﾃﾞｰﾀ加工(MTD)'!$FC$4</definedName>
    <definedName name="反転Y">'[25]ﾃﾞｰﾀ加工(YTD)'!$FC$4</definedName>
    <definedName name="基本項目_FLAG">[21]基礎ﾃﾞｰﾀ!#REF!</definedName>
    <definedName name="消税率">#REF!</definedName>
  </definedNames>
  <calcPr calcId="191029" calcMode="manual" iterate="1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12" l="1"/>
  <c r="K10" i="12"/>
  <c r="J10" i="12"/>
  <c r="L16" i="12"/>
  <c r="K16" i="12"/>
  <c r="J16" i="12"/>
  <c r="I154" i="12"/>
  <c r="H154" i="12"/>
  <c r="G185" i="12"/>
  <c r="F185" i="12"/>
  <c r="H153" i="12"/>
  <c r="I153" i="12"/>
  <c r="O9" i="6"/>
  <c r="N9" i="6" s="1"/>
  <c r="M9" i="6" s="1"/>
  <c r="L9" i="6" s="1"/>
  <c r="K9" i="6" s="1"/>
  <c r="J9" i="6" s="1"/>
  <c r="I9" i="6" s="1"/>
  <c r="H9" i="6" s="1"/>
  <c r="G9" i="6" s="1"/>
  <c r="F9" i="6" s="1"/>
  <c r="E9" i="6" s="1"/>
  <c r="O12" i="6"/>
  <c r="N12" i="6" s="1"/>
  <c r="M12" i="6" s="1"/>
  <c r="L12" i="6" s="1"/>
  <c r="K12" i="6" s="1"/>
  <c r="J12" i="6" s="1"/>
  <c r="I12" i="6" s="1"/>
  <c r="H12" i="6" s="1"/>
  <c r="G12" i="6" s="1"/>
  <c r="F12" i="6" s="1"/>
  <c r="E12" i="6" s="1"/>
  <c r="O11" i="6"/>
  <c r="N11" i="6" s="1"/>
  <c r="M11" i="6" s="1"/>
  <c r="L11" i="6" s="1"/>
  <c r="K11" i="6" s="1"/>
  <c r="J11" i="6" s="1"/>
  <c r="I11" i="6" s="1"/>
  <c r="H11" i="6" s="1"/>
  <c r="G11" i="6" s="1"/>
  <c r="F11" i="6" s="1"/>
  <c r="E11" i="6" s="1"/>
  <c r="P9" i="6"/>
  <c r="K93" i="12"/>
  <c r="L93" i="12" s="1"/>
  <c r="M93" i="12" s="1"/>
  <c r="N93" i="12" s="1"/>
  <c r="O93" i="12" s="1"/>
  <c r="P93" i="12" s="1"/>
  <c r="AC60" i="13"/>
  <c r="AB60" i="13"/>
  <c r="AA60" i="13"/>
  <c r="AA86" i="13" s="1"/>
  <c r="Z50" i="13"/>
  <c r="Y50" i="13"/>
  <c r="X50" i="13"/>
  <c r="J205" i="12"/>
  <c r="AC40" i="13"/>
  <c r="BJ40" i="13" s="1"/>
  <c r="AB40" i="13"/>
  <c r="BI40" i="13" s="1"/>
  <c r="AA40" i="13"/>
  <c r="BH40" i="13" s="1"/>
  <c r="T33" i="6"/>
  <c r="S33" i="6"/>
  <c r="P33" i="6"/>
  <c r="I106" i="12"/>
  <c r="I105" i="12" s="1"/>
  <c r="AC81" i="13"/>
  <c r="AB81" i="13"/>
  <c r="AA81" i="13"/>
  <c r="AC79" i="13"/>
  <c r="AC83" i="13" s="1"/>
  <c r="AB79" i="13"/>
  <c r="AB91" i="13" s="1"/>
  <c r="AA79" i="13"/>
  <c r="AA91" i="13" s="1"/>
  <c r="AA98" i="13" s="1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Q83" i="13"/>
  <c r="P83" i="13"/>
  <c r="O83" i="13"/>
  <c r="R83" i="13"/>
  <c r="T83" i="13"/>
  <c r="U83" i="13"/>
  <c r="X83" i="13"/>
  <c r="Y83" i="13"/>
  <c r="Z83" i="13" s="1"/>
  <c r="W146" i="13"/>
  <c r="AC113" i="13"/>
  <c r="AB113" i="13"/>
  <c r="AA113" i="13"/>
  <c r="AE97" i="13"/>
  <c r="AC133" i="13"/>
  <c r="AB133" i="13"/>
  <c r="AA133" i="13"/>
  <c r="AA117" i="13"/>
  <c r="AE121" i="13"/>
  <c r="AF121" i="13"/>
  <c r="AE116" i="13"/>
  <c r="AF116" i="13"/>
  <c r="AA103" i="13"/>
  <c r="AA116" i="13" s="1"/>
  <c r="AA121" i="13" s="1"/>
  <c r="AB103" i="13"/>
  <c r="AB116" i="13" s="1"/>
  <c r="AB121" i="13" s="1"/>
  <c r="AC103" i="13"/>
  <c r="AC116" i="13" s="1"/>
  <c r="AC121" i="13" s="1"/>
  <c r="AD103" i="13"/>
  <c r="AD116" i="13" s="1"/>
  <c r="AD121" i="13" s="1"/>
  <c r="AE103" i="13"/>
  <c r="AF103" i="13"/>
  <c r="AC94" i="13"/>
  <c r="AC93" i="13"/>
  <c r="AC123" i="13" s="1"/>
  <c r="AC91" i="13"/>
  <c r="AB94" i="13"/>
  <c r="AB93" i="13"/>
  <c r="AB123" i="13" s="1"/>
  <c r="AA94" i="13"/>
  <c r="AA93" i="13"/>
  <c r="AA123" i="13" s="1"/>
  <c r="AE88" i="13"/>
  <c r="AF88" i="13"/>
  <c r="AF76" i="13"/>
  <c r="AE76" i="13"/>
  <c r="AA54" i="13"/>
  <c r="AB54" i="13"/>
  <c r="AC54" i="13"/>
  <c r="AC63" i="13"/>
  <c r="AB63" i="13"/>
  <c r="AB64" i="13"/>
  <c r="AA63" i="13"/>
  <c r="AA46" i="13"/>
  <c r="AA56" i="13" s="1"/>
  <c r="AB46" i="13"/>
  <c r="AB56" i="13" s="1"/>
  <c r="J24" i="12"/>
  <c r="D5" i="10" s="1"/>
  <c r="BJ41" i="13"/>
  <c r="BI41" i="13"/>
  <c r="BH41" i="13"/>
  <c r="BG41" i="13"/>
  <c r="BF41" i="13"/>
  <c r="BE41" i="13"/>
  <c r="BD41" i="13"/>
  <c r="AC41" i="13"/>
  <c r="AB41" i="13"/>
  <c r="AA41" i="13"/>
  <c r="G38" i="13"/>
  <c r="H38" i="13"/>
  <c r="I38" i="13"/>
  <c r="K38" i="13"/>
  <c r="L38" i="13"/>
  <c r="M38" i="13"/>
  <c r="N38" i="13"/>
  <c r="O38" i="13"/>
  <c r="P38" i="13"/>
  <c r="Q38" i="13"/>
  <c r="R38" i="13"/>
  <c r="J43" i="13"/>
  <c r="K43" i="13"/>
  <c r="L43" i="13"/>
  <c r="M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U38" i="13"/>
  <c r="S38" i="13"/>
  <c r="V38" i="13"/>
  <c r="W38" i="13"/>
  <c r="Z38" i="13"/>
  <c r="AE54" i="13"/>
  <c r="AF54" i="13"/>
  <c r="AA33" i="13"/>
  <c r="AB33" i="13"/>
  <c r="AC33" i="13"/>
  <c r="AC46" i="13" s="1"/>
  <c r="AC56" i="13" s="1"/>
  <c r="AD33" i="13"/>
  <c r="AE33" i="13"/>
  <c r="AE46" i="13" s="1"/>
  <c r="AE56" i="13" s="1"/>
  <c r="AE66" i="13" s="1"/>
  <c r="AF33" i="13"/>
  <c r="AF46" i="13" s="1"/>
  <c r="AF56" i="13" s="1"/>
  <c r="BW287" i="1"/>
  <c r="BV287" i="1" s="1"/>
  <c r="BU287" i="1" s="1"/>
  <c r="BT287" i="1" s="1"/>
  <c r="BS287" i="1" s="1"/>
  <c r="J175" i="12"/>
  <c r="AC105" i="13" s="1"/>
  <c r="AA6" i="13"/>
  <c r="AD18" i="13"/>
  <c r="BK18" i="13" s="1"/>
  <c r="AC18" i="13"/>
  <c r="BJ18" i="13" s="1"/>
  <c r="AB18" i="13"/>
  <c r="BI18" i="13" s="1"/>
  <c r="AA18" i="13"/>
  <c r="BH18" i="13" s="1"/>
  <c r="AC17" i="13"/>
  <c r="AA17" i="13"/>
  <c r="BK17" i="13"/>
  <c r="BK2" i="13"/>
  <c r="BK56" i="13" s="1"/>
  <c r="BJ2" i="13"/>
  <c r="BJ56" i="13" s="1"/>
  <c r="BI2" i="13"/>
  <c r="BI56" i="13" s="1"/>
  <c r="BH17" i="13"/>
  <c r="BH6" i="13"/>
  <c r="BH2" i="13"/>
  <c r="BH56" i="13" s="1"/>
  <c r="AE165" i="13"/>
  <c r="AD165" i="13"/>
  <c r="AE105" i="13"/>
  <c r="AE104" i="13"/>
  <c r="AE5" i="13"/>
  <c r="AF59" i="13"/>
  <c r="AF58" i="13"/>
  <c r="AF57" i="13"/>
  <c r="AF165" i="13"/>
  <c r="AF160" i="13"/>
  <c r="AF105" i="13"/>
  <c r="AF104" i="13"/>
  <c r="G93" i="12"/>
  <c r="Q33" i="6" s="1"/>
  <c r="H93" i="12"/>
  <c r="R33" i="6" s="1"/>
  <c r="I239" i="12"/>
  <c r="I233" i="12"/>
  <c r="I225" i="12"/>
  <c r="I220" i="12"/>
  <c r="I194" i="12"/>
  <c r="I191" i="12"/>
  <c r="I70" i="12"/>
  <c r="I74" i="12"/>
  <c r="I141" i="12"/>
  <c r="I37" i="12" s="1"/>
  <c r="I47" i="12" s="1"/>
  <c r="I17" i="12"/>
  <c r="I129" i="12"/>
  <c r="I128" i="12"/>
  <c r="I132" i="12"/>
  <c r="I131" i="12"/>
  <c r="I14" i="12"/>
  <c r="AA66" i="13" l="1"/>
  <c r="AA97" i="13" s="1"/>
  <c r="AA88" i="13"/>
  <c r="AA76" i="13" s="1"/>
  <c r="AB66" i="13"/>
  <c r="AB97" i="13" s="1"/>
  <c r="AB88" i="13"/>
  <c r="AB76" i="13" s="1"/>
  <c r="AC66" i="13"/>
  <c r="AC97" i="13" s="1"/>
  <c r="AC88" i="13"/>
  <c r="AC76" i="13" s="1"/>
  <c r="AA67" i="13"/>
  <c r="AA73" i="13"/>
  <c r="F9" i="10"/>
  <c r="P10" i="6" s="1"/>
  <c r="O10" i="6" s="1"/>
  <c r="N10" i="6" s="1"/>
  <c r="M10" i="6" s="1"/>
  <c r="L10" i="6" s="1"/>
  <c r="K10" i="6" s="1"/>
  <c r="J10" i="6" s="1"/>
  <c r="I10" i="6" s="1"/>
  <c r="H10" i="6" s="1"/>
  <c r="G10" i="6" s="1"/>
  <c r="F10" i="6" s="1"/>
  <c r="E10" i="6" s="1"/>
  <c r="AA83" i="13"/>
  <c r="AB83" i="13"/>
  <c r="AC122" i="13"/>
  <c r="AB122" i="13"/>
  <c r="AA122" i="13"/>
  <c r="W81" i="13"/>
  <c r="BW288" i="1"/>
  <c r="BV288" i="1" s="1"/>
  <c r="BU288" i="1" s="1"/>
  <c r="AA104" i="13"/>
  <c r="AB104" i="13"/>
  <c r="AC104" i="13"/>
  <c r="AC106" i="13" s="1"/>
  <c r="AA105" i="13"/>
  <c r="AB105" i="13"/>
  <c r="AB106" i="13" s="1"/>
  <c r="AC95" i="13"/>
  <c r="AC124" i="13" s="1"/>
  <c r="AB95" i="13"/>
  <c r="AB124" i="13" s="1"/>
  <c r="AA95" i="13"/>
  <c r="AA124" i="13" s="1"/>
  <c r="AA64" i="13"/>
  <c r="AC64" i="13"/>
  <c r="AE106" i="13"/>
  <c r="AE108" i="13" s="1"/>
  <c r="AF106" i="13"/>
  <c r="AF108" i="13" s="1"/>
  <c r="AD19" i="13"/>
  <c r="AB19" i="13"/>
  <c r="AB3" i="13" s="1"/>
  <c r="BI3" i="13" s="1"/>
  <c r="AA19" i="13"/>
  <c r="BI17" i="13"/>
  <c r="AC19" i="13"/>
  <c r="AC3" i="13" s="1"/>
  <c r="BJ3" i="13" s="1"/>
  <c r="AF66" i="13"/>
  <c r="AF97" i="13" s="1"/>
  <c r="I133" i="12"/>
  <c r="I130" i="12"/>
  <c r="I115" i="12"/>
  <c r="I7" i="12"/>
  <c r="I62" i="12" s="1"/>
  <c r="E238" i="15"/>
  <c r="D238" i="15"/>
  <c r="C238" i="15"/>
  <c r="F238" i="15"/>
  <c r="B328" i="15"/>
  <c r="B327" i="15"/>
  <c r="B306" i="15"/>
  <c r="B305" i="15"/>
  <c r="B304" i="15"/>
  <c r="F303" i="15"/>
  <c r="E303" i="15"/>
  <c r="D303" i="15"/>
  <c r="C303" i="15"/>
  <c r="B282" i="15"/>
  <c r="B281" i="15"/>
  <c r="B279" i="15"/>
  <c r="M278" i="15"/>
  <c r="L278" i="15"/>
  <c r="K278" i="15"/>
  <c r="J278" i="15"/>
  <c r="I278" i="15"/>
  <c r="H278" i="15"/>
  <c r="G278" i="15"/>
  <c r="F278" i="15"/>
  <c r="E278" i="15"/>
  <c r="D278" i="15"/>
  <c r="C278" i="15"/>
  <c r="N278" i="15"/>
  <c r="B164" i="15"/>
  <c r="B163" i="15"/>
  <c r="B162" i="15"/>
  <c r="G164" i="15"/>
  <c r="G163" i="15"/>
  <c r="G162" i="15"/>
  <c r="H164" i="15"/>
  <c r="H163" i="15"/>
  <c r="H162" i="15"/>
  <c r="I164" i="15"/>
  <c r="I163" i="15"/>
  <c r="I162" i="15"/>
  <c r="J163" i="15"/>
  <c r="J164" i="15"/>
  <c r="J162" i="15"/>
  <c r="I161" i="15"/>
  <c r="H161" i="15"/>
  <c r="G161" i="15"/>
  <c r="F161" i="15"/>
  <c r="E161" i="15"/>
  <c r="D161" i="15"/>
  <c r="C161" i="15"/>
  <c r="I160" i="15"/>
  <c r="H160" i="15"/>
  <c r="G160" i="15"/>
  <c r="F160" i="15"/>
  <c r="E160" i="15"/>
  <c r="D160" i="15"/>
  <c r="C160" i="15"/>
  <c r="J160" i="15"/>
  <c r="J161" i="15"/>
  <c r="F11" i="15"/>
  <c r="C10" i="15"/>
  <c r="G10" i="15" s="1"/>
  <c r="Z4" i="13"/>
  <c r="Z5" i="13" s="1"/>
  <c r="Z141" i="13"/>
  <c r="Y141" i="13"/>
  <c r="X141" i="13"/>
  <c r="Z137" i="13"/>
  <c r="Z132" i="13"/>
  <c r="Z133" i="13" s="1"/>
  <c r="Z114" i="13"/>
  <c r="Z108" i="13"/>
  <c r="Z104" i="13"/>
  <c r="C6" i="15"/>
  <c r="G6" i="15" s="1"/>
  <c r="C5" i="15"/>
  <c r="BR269" i="1"/>
  <c r="BR280" i="1"/>
  <c r="BR279" i="1"/>
  <c r="BR276" i="1"/>
  <c r="BR286" i="1"/>
  <c r="BR249" i="1"/>
  <c r="BR233" i="1"/>
  <c r="BR291" i="1" s="1"/>
  <c r="BR123" i="1"/>
  <c r="BR132" i="1" s="1"/>
  <c r="BR6" i="1"/>
  <c r="BR4" i="1" s="1"/>
  <c r="Z111" i="13"/>
  <c r="Z105" i="13" s="1"/>
  <c r="Z41" i="13"/>
  <c r="Z36" i="13"/>
  <c r="Z9" i="13"/>
  <c r="Z8" i="13"/>
  <c r="J28" i="15"/>
  <c r="K28" i="15"/>
  <c r="L28" i="15"/>
  <c r="M28" i="15"/>
  <c r="N28" i="15"/>
  <c r="N27" i="15"/>
  <c r="H23" i="15"/>
  <c r="H22" i="15"/>
  <c r="H20" i="15"/>
  <c r="H19" i="15"/>
  <c r="D24" i="15"/>
  <c r="D23" i="15"/>
  <c r="D22" i="15"/>
  <c r="D20" i="15"/>
  <c r="D19" i="15"/>
  <c r="D13" i="15"/>
  <c r="D12" i="15"/>
  <c r="D11" i="15"/>
  <c r="F8" i="15"/>
  <c r="AD54" i="13"/>
  <c r="AD46" i="13"/>
  <c r="AD56" i="13" s="1"/>
  <c r="H6" i="15"/>
  <c r="D7" i="15"/>
  <c r="D6" i="15"/>
  <c r="H5" i="15"/>
  <c r="D5" i="15"/>
  <c r="M47" i="12"/>
  <c r="N47" i="12" s="1"/>
  <c r="O47" i="12" s="1"/>
  <c r="P47" i="12" s="1"/>
  <c r="AD66" i="13" l="1"/>
  <c r="AD97" i="13" s="1"/>
  <c r="AD88" i="13"/>
  <c r="AD76" i="13" s="1"/>
  <c r="AB140" i="13"/>
  <c r="AB139" i="13"/>
  <c r="AA139" i="13"/>
  <c r="AC140" i="13"/>
  <c r="AA140" i="13"/>
  <c r="AC139" i="13"/>
  <c r="AA106" i="13"/>
  <c r="BT288" i="1"/>
  <c r="AC114" i="13"/>
  <c r="AC108" i="13"/>
  <c r="AC107" i="13" s="1"/>
  <c r="AD105" i="13"/>
  <c r="AD104" i="13"/>
  <c r="BR278" i="1"/>
  <c r="BR256" i="1"/>
  <c r="AA3" i="13"/>
  <c r="AE160" i="13"/>
  <c r="AD160" i="13"/>
  <c r="Z106" i="13"/>
  <c r="Z107" i="13" s="1"/>
  <c r="Z12" i="13"/>
  <c r="Z10" i="13"/>
  <c r="BR235" i="1" s="1"/>
  <c r="BR245" i="1" s="1"/>
  <c r="BR301" i="1" s="1"/>
  <c r="BR293" i="1"/>
  <c r="D16" i="15"/>
  <c r="D15" i="15"/>
  <c r="D17" i="15"/>
  <c r="D8" i="15"/>
  <c r="D21" i="15"/>
  <c r="S14" i="6"/>
  <c r="AB108" i="13" l="1"/>
  <c r="AB107" i="13" s="1"/>
  <c r="BS288" i="1"/>
  <c r="AB114" i="13"/>
  <c r="BH3" i="13"/>
  <c r="BR292" i="1"/>
  <c r="BR255" i="1"/>
  <c r="BQ276" i="1"/>
  <c r="BQ280" i="1"/>
  <c r="BQ279" i="1"/>
  <c r="Y8" i="13"/>
  <c r="Y6" i="13"/>
  <c r="Y132" i="13"/>
  <c r="Y137" i="13"/>
  <c r="Y111" i="13"/>
  <c r="Y105" i="13" s="1"/>
  <c r="Y114" i="13"/>
  <c r="Y108" i="13"/>
  <c r="Y104" i="13"/>
  <c r="Y41" i="13"/>
  <c r="Y36" i="13"/>
  <c r="Y17" i="13"/>
  <c r="BQ249" i="1"/>
  <c r="BQ8" i="1"/>
  <c r="BQ9" i="1"/>
  <c r="BQ7" i="1"/>
  <c r="BQ132" i="1"/>
  <c r="Y9" i="13"/>
  <c r="AC9" i="13" s="1"/>
  <c r="BJ9" i="13" s="1"/>
  <c r="Y4" i="13"/>
  <c r="AC4" i="13" s="1"/>
  <c r="BJ4" i="13" s="1"/>
  <c r="EA3" i="1"/>
  <c r="DZ3" i="1"/>
  <c r="DY3" i="1"/>
  <c r="DX3" i="1"/>
  <c r="DW3" i="1"/>
  <c r="DV3" i="1"/>
  <c r="DU3" i="1"/>
  <c r="W137" i="13"/>
  <c r="X137" i="13"/>
  <c r="X133" i="13"/>
  <c r="X114" i="13"/>
  <c r="X111" i="13"/>
  <c r="W114" i="13"/>
  <c r="W111" i="13"/>
  <c r="X108" i="13"/>
  <c r="X104" i="13"/>
  <c r="W108" i="13"/>
  <c r="W104" i="13"/>
  <c r="BP286" i="1"/>
  <c r="BO286" i="1"/>
  <c r="BP280" i="1"/>
  <c r="BP279" i="1"/>
  <c r="BP276" i="1"/>
  <c r="BO280" i="1"/>
  <c r="BO279" i="1"/>
  <c r="BO276" i="1"/>
  <c r="BP269" i="1"/>
  <c r="BO269" i="1"/>
  <c r="BP249" i="1"/>
  <c r="BP293" i="1" s="1"/>
  <c r="BO249" i="1"/>
  <c r="BO256" i="1" s="1"/>
  <c r="BO233" i="1"/>
  <c r="BO291" i="1" s="1"/>
  <c r="K27" i="15" s="1"/>
  <c r="BP233" i="1"/>
  <c r="BP291" i="1" s="1"/>
  <c r="L27" i="15" s="1"/>
  <c r="BP12" i="1"/>
  <c r="BP11" i="1"/>
  <c r="BP6" i="1"/>
  <c r="BP4" i="1" s="1"/>
  <c r="BP132" i="1"/>
  <c r="X9" i="13"/>
  <c r="AB9" i="13" s="1"/>
  <c r="BI9" i="13" s="1"/>
  <c r="X8" i="13"/>
  <c r="X41" i="13"/>
  <c r="X36" i="13"/>
  <c r="W36" i="13"/>
  <c r="X6" i="13"/>
  <c r="W4" i="13"/>
  <c r="AA4" i="13" s="1"/>
  <c r="BH4" i="13" s="1"/>
  <c r="BO12" i="1"/>
  <c r="BO11" i="1"/>
  <c r="BO6" i="1"/>
  <c r="BO4" i="1" s="1"/>
  <c r="X4" i="13"/>
  <c r="AB4" i="13" s="1"/>
  <c r="BI4" i="13" s="1"/>
  <c r="Z165" i="13"/>
  <c r="Z160" i="13"/>
  <c r="J614" i="7"/>
  <c r="J612" i="7"/>
  <c r="J611" i="7"/>
  <c r="J617" i="7" s="1"/>
  <c r="G614" i="7"/>
  <c r="AA114" i="13" l="1"/>
  <c r="AA108" i="13"/>
  <c r="AA107" i="13" s="1"/>
  <c r="BQ12" i="1"/>
  <c r="BR12" i="1"/>
  <c r="BQ11" i="1"/>
  <c r="BR11" i="1"/>
  <c r="BQ256" i="1"/>
  <c r="BR254" i="1"/>
  <c r="BR250" i="1"/>
  <c r="AB6" i="13"/>
  <c r="X38" i="13"/>
  <c r="AA5" i="13"/>
  <c r="AC6" i="13"/>
  <c r="Y38" i="13"/>
  <c r="Y19" i="13"/>
  <c r="BJ19" i="13" s="1"/>
  <c r="BJ17" i="13"/>
  <c r="BJ8" i="13"/>
  <c r="AC10" i="13"/>
  <c r="BI8" i="13"/>
  <c r="AB10" i="13"/>
  <c r="AC5" i="13"/>
  <c r="W105" i="13"/>
  <c r="W106" i="13" s="1"/>
  <c r="W107" i="13" s="1"/>
  <c r="I38" i="12"/>
  <c r="I48" i="12" s="1"/>
  <c r="I49" i="12" s="1"/>
  <c r="I117" i="12"/>
  <c r="I120" i="12"/>
  <c r="Y5" i="13"/>
  <c r="BQ6" i="1"/>
  <c r="Y133" i="13"/>
  <c r="X105" i="13"/>
  <c r="X106" i="13" s="1"/>
  <c r="X107" i="13" s="1"/>
  <c r="X5" i="13"/>
  <c r="Y106" i="13"/>
  <c r="Y107" i="13" s="1"/>
  <c r="X10" i="13"/>
  <c r="BO278" i="1"/>
  <c r="BP278" i="1"/>
  <c r="BQ250" i="1"/>
  <c r="BQ254" i="1"/>
  <c r="BO293" i="1"/>
  <c r="BP254" i="1"/>
  <c r="BP256" i="1"/>
  <c r="BP250" i="1"/>
  <c r="BP32" i="1"/>
  <c r="BP10" i="1"/>
  <c r="BP5" i="1"/>
  <c r="BP16" i="1"/>
  <c r="AE129" i="8"/>
  <c r="AE155" i="8" s="1"/>
  <c r="AE121" i="8"/>
  <c r="AE116" i="8"/>
  <c r="AE52" i="8"/>
  <c r="AE39" i="8"/>
  <c r="AE38" i="8"/>
  <c r="AE36" i="8"/>
  <c r="AE37" i="8" s="1"/>
  <c r="AE21" i="8"/>
  <c r="AE16" i="8"/>
  <c r="AE13" i="8"/>
  <c r="AE4" i="8"/>
  <c r="AE3" i="8"/>
  <c r="V50" i="6"/>
  <c r="V3" i="6"/>
  <c r="AB200" i="9"/>
  <c r="AB186" i="9"/>
  <c r="AB184" i="9"/>
  <c r="AB192" i="9" s="1"/>
  <c r="AB154" i="9"/>
  <c r="AB156" i="9" s="1"/>
  <c r="AB141" i="9"/>
  <c r="AB131" i="9"/>
  <c r="AB132" i="9" s="1"/>
  <c r="AB124" i="9"/>
  <c r="AB115" i="9"/>
  <c r="AB116" i="9" s="1"/>
  <c r="AB101" i="9"/>
  <c r="AB99" i="9"/>
  <c r="AB93" i="9"/>
  <c r="AB100" i="9" s="1"/>
  <c r="AB104" i="9" s="1"/>
  <c r="AB57" i="9"/>
  <c r="AB51" i="9"/>
  <c r="AB54" i="9" s="1"/>
  <c r="AB55" i="9" s="1"/>
  <c r="AB56" i="9" s="1"/>
  <c r="AB47" i="9"/>
  <c r="AB44" i="9"/>
  <c r="AB50" i="9" s="1"/>
  <c r="AB65" i="9" s="1"/>
  <c r="AB39" i="9"/>
  <c r="AB26" i="9"/>
  <c r="AB32" i="9" s="1"/>
  <c r="AB208" i="9" s="1"/>
  <c r="AB12" i="9"/>
  <c r="AB11" i="9"/>
  <c r="AB2" i="9"/>
  <c r="AB42" i="9" s="1"/>
  <c r="AB367" i="5"/>
  <c r="AB351" i="5"/>
  <c r="AB347" i="5"/>
  <c r="AB346" i="5"/>
  <c r="AB345" i="5"/>
  <c r="AB348" i="5" s="1"/>
  <c r="AB340" i="5"/>
  <c r="AB339" i="5"/>
  <c r="AB335" i="5"/>
  <c r="AB334" i="5"/>
  <c r="AB360" i="5" s="1"/>
  <c r="AB333" i="5"/>
  <c r="AB336" i="5" s="1"/>
  <c r="AB329" i="5"/>
  <c r="AB326" i="5"/>
  <c r="AB317" i="5"/>
  <c r="AB315" i="5"/>
  <c r="AB318" i="5" s="1"/>
  <c r="AB301" i="5"/>
  <c r="AB352" i="5" s="1"/>
  <c r="AB200" i="5"/>
  <c r="AB198" i="5"/>
  <c r="AB196" i="5"/>
  <c r="AB194" i="5"/>
  <c r="AB205" i="5" s="1"/>
  <c r="AB184" i="5"/>
  <c r="AB183" i="5"/>
  <c r="AB182" i="5"/>
  <c r="AB179" i="5"/>
  <c r="AB181" i="5" s="1"/>
  <c r="AB162" i="5"/>
  <c r="AB160" i="5"/>
  <c r="AB158" i="5"/>
  <c r="AB164" i="5" s="1"/>
  <c r="AB142" i="5"/>
  <c r="AB143" i="5" s="1"/>
  <c r="AB139" i="5"/>
  <c r="AB131" i="5"/>
  <c r="AB331" i="5" s="1"/>
  <c r="AB124" i="5"/>
  <c r="AB52" i="5"/>
  <c r="AB45" i="5"/>
  <c r="AB43" i="5"/>
  <c r="AB214" i="5" s="1"/>
  <c r="AB25" i="5"/>
  <c r="AB15" i="5" s="1"/>
  <c r="AB22" i="5"/>
  <c r="AB21" i="5"/>
  <c r="AB8" i="5"/>
  <c r="AB7" i="5" s="1"/>
  <c r="AB16" i="5" s="1"/>
  <c r="AB4" i="5"/>
  <c r="AB2" i="5"/>
  <c r="W52" i="13"/>
  <c r="W117" i="13"/>
  <c r="K304" i="15" s="1"/>
  <c r="V133" i="13"/>
  <c r="U133" i="13"/>
  <c r="T133" i="13"/>
  <c r="W133" i="13"/>
  <c r="W103" i="13"/>
  <c r="W116" i="13" s="1"/>
  <c r="BD40" i="13"/>
  <c r="BD37" i="13"/>
  <c r="BD18" i="13"/>
  <c r="BD17" i="13"/>
  <c r="BD6" i="13"/>
  <c r="BD3" i="13"/>
  <c r="K138" i="15" s="1"/>
  <c r="BD2" i="13"/>
  <c r="K193" i="15" s="1"/>
  <c r="W41" i="13"/>
  <c r="W63" i="13" s="1"/>
  <c r="W57" i="13"/>
  <c r="W49" i="13"/>
  <c r="W59" i="13" s="1"/>
  <c r="W33" i="13"/>
  <c r="W46" i="13" s="1"/>
  <c r="W56" i="13" s="1"/>
  <c r="W9" i="13"/>
  <c r="W8" i="13"/>
  <c r="BO123" i="1"/>
  <c r="BO132" i="1" s="1"/>
  <c r="W5" i="13"/>
  <c r="W19" i="13"/>
  <c r="BH19" i="13" s="1"/>
  <c r="E116" i="2"/>
  <c r="G19" i="16"/>
  <c r="G153" i="2"/>
  <c r="G21" i="16"/>
  <c r="G20" i="16"/>
  <c r="G17" i="16"/>
  <c r="G16" i="16"/>
  <c r="G15" i="16"/>
  <c r="G12" i="16"/>
  <c r="G11" i="16"/>
  <c r="G10" i="16"/>
  <c r="G7" i="16"/>
  <c r="G6" i="16"/>
  <c r="G5" i="16"/>
  <c r="N163" i="12"/>
  <c r="O163" i="12" s="1"/>
  <c r="P163" i="12" s="1"/>
  <c r="BX3" i="13"/>
  <c r="BX18" i="13"/>
  <c r="BJ6" i="13" l="1"/>
  <c r="AC67" i="13"/>
  <c r="AC117" i="13"/>
  <c r="AC73" i="13"/>
  <c r="AC86" i="13"/>
  <c r="AC98" i="13"/>
  <c r="BI6" i="13"/>
  <c r="AB86" i="13"/>
  <c r="AB67" i="13"/>
  <c r="AB73" i="13"/>
  <c r="AB98" i="13"/>
  <c r="AB117" i="13"/>
  <c r="BQ32" i="1"/>
  <c r="BR32" i="1"/>
  <c r="BR10" i="1"/>
  <c r="AC99" i="13"/>
  <c r="AC118" i="13"/>
  <c r="AC68" i="13"/>
  <c r="AC128" i="13"/>
  <c r="BQ10" i="1"/>
  <c r="BI10" i="13"/>
  <c r="AB68" i="13"/>
  <c r="AB118" i="13"/>
  <c r="AB99" i="13"/>
  <c r="AB128" i="13"/>
  <c r="AB5" i="13"/>
  <c r="AD5" i="13" s="1"/>
  <c r="AA9" i="13"/>
  <c r="BH9" i="13" s="1"/>
  <c r="I119" i="12"/>
  <c r="I134" i="12"/>
  <c r="W62" i="13"/>
  <c r="BH62" i="13" s="1"/>
  <c r="I18" i="12"/>
  <c r="I20" i="12" s="1"/>
  <c r="W121" i="13"/>
  <c r="K326" i="15" s="1"/>
  <c r="K303" i="15"/>
  <c r="BD9" i="13"/>
  <c r="BD56" i="13"/>
  <c r="K137" i="15"/>
  <c r="BQ4" i="1"/>
  <c r="AD106" i="13"/>
  <c r="BP235" i="1"/>
  <c r="W12" i="13"/>
  <c r="BP22" i="1"/>
  <c r="BP20" i="1"/>
  <c r="AB112" i="9"/>
  <c r="AB67" i="9"/>
  <c r="AB66" i="9"/>
  <c r="AB189" i="9"/>
  <c r="AB203" i="9"/>
  <c r="AB122" i="9"/>
  <c r="AB152" i="9" s="1"/>
  <c r="AB182" i="9" s="1"/>
  <c r="AB205" i="9" s="1"/>
  <c r="AB24" i="9"/>
  <c r="AB309" i="5"/>
  <c r="AB33" i="5"/>
  <c r="AB40" i="5"/>
  <c r="AB12" i="5"/>
  <c r="AB18" i="5"/>
  <c r="AB17" i="5"/>
  <c r="AB14" i="5"/>
  <c r="AB206" i="5"/>
  <c r="AB11" i="5"/>
  <c r="AB23" i="5"/>
  <c r="AB13" i="5" s="1"/>
  <c r="AB249" i="5"/>
  <c r="AB153" i="5"/>
  <c r="AB362" i="5"/>
  <c r="AB391" i="5" s="1"/>
  <c r="W54" i="13"/>
  <c r="W66" i="13"/>
  <c r="W97" i="13" s="1"/>
  <c r="W88" i="13"/>
  <c r="W76" i="13" s="1"/>
  <c r="W20" i="13"/>
  <c r="BH20" i="13" s="1"/>
  <c r="W94" i="13"/>
  <c r="W10" i="13"/>
  <c r="W58" i="13"/>
  <c r="W60" i="13" s="1"/>
  <c r="C226" i="2"/>
  <c r="BF3" i="13"/>
  <c r="M138" i="15" s="1"/>
  <c r="I205" i="12"/>
  <c r="I176" i="12"/>
  <c r="BM16" i="1"/>
  <c r="BL16" i="1"/>
  <c r="BN6" i="1"/>
  <c r="BN12" i="1"/>
  <c r="BN11" i="1"/>
  <c r="BL6" i="1"/>
  <c r="BM12" i="1"/>
  <c r="BM11" i="1"/>
  <c r="BL12" i="1"/>
  <c r="BL11" i="1"/>
  <c r="BM6" i="1"/>
  <c r="BM5" i="1"/>
  <c r="BL5" i="1"/>
  <c r="BK278" i="1"/>
  <c r="BJ278" i="1"/>
  <c r="BQ293" i="1"/>
  <c r="BQ286" i="1"/>
  <c r="BQ233" i="1"/>
  <c r="BQ291" i="1" s="1"/>
  <c r="M27" i="15" s="1"/>
  <c r="H194" i="12"/>
  <c r="I195" i="12" s="1"/>
  <c r="H191" i="12"/>
  <c r="I192" i="12" s="1"/>
  <c r="H105" i="12"/>
  <c r="H239" i="12"/>
  <c r="H233" i="12"/>
  <c r="H228" i="12"/>
  <c r="H225" i="12"/>
  <c r="H220" i="12"/>
  <c r="BX157" i="13"/>
  <c r="BX136" i="13"/>
  <c r="BX113" i="13"/>
  <c r="BX106" i="13"/>
  <c r="BX83" i="13"/>
  <c r="Y63" i="13"/>
  <c r="X63" i="13"/>
  <c r="X94" i="13" s="1"/>
  <c r="BX63" i="13"/>
  <c r="BX94" i="13" s="1"/>
  <c r="BX100" i="13" s="1"/>
  <c r="Y62" i="13"/>
  <c r="X62" i="13"/>
  <c r="BX62" i="13"/>
  <c r="Z59" i="13"/>
  <c r="Z58" i="13"/>
  <c r="Z57" i="13"/>
  <c r="Y59" i="13"/>
  <c r="Y58" i="13"/>
  <c r="Y57" i="13"/>
  <c r="X59" i="13"/>
  <c r="X58" i="13"/>
  <c r="X57" i="13"/>
  <c r="BX59" i="13"/>
  <c r="BX58" i="13"/>
  <c r="BX57" i="13"/>
  <c r="Z54" i="13"/>
  <c r="Y54" i="13"/>
  <c r="X54" i="13"/>
  <c r="BX54" i="13"/>
  <c r="BC13" i="13"/>
  <c r="AZ13" i="13"/>
  <c r="H132" i="12"/>
  <c r="H66" i="12"/>
  <c r="H74" i="12"/>
  <c r="H70" i="12"/>
  <c r="H141" i="12"/>
  <c r="H37" i="12" s="1"/>
  <c r="H47" i="12" s="1"/>
  <c r="H18" i="12"/>
  <c r="H17" i="12"/>
  <c r="BG18" i="13"/>
  <c r="BE18" i="13"/>
  <c r="BY18" i="13"/>
  <c r="BF17" i="13"/>
  <c r="BE17" i="13"/>
  <c r="BX17" i="13"/>
  <c r="BY17" i="13" s="1"/>
  <c r="E116" i="12"/>
  <c r="H115" i="12"/>
  <c r="I116" i="12" s="1"/>
  <c r="BF40" i="13"/>
  <c r="BE40" i="13"/>
  <c r="BY40" i="13"/>
  <c r="BE3" i="13"/>
  <c r="L138" i="15" s="1"/>
  <c r="BY3" i="13"/>
  <c r="BF18" i="13"/>
  <c r="BG2" i="13"/>
  <c r="N193" i="15" s="1"/>
  <c r="BF2" i="13"/>
  <c r="M193" i="15" s="1"/>
  <c r="BE2" i="13"/>
  <c r="L193" i="15" s="1"/>
  <c r="BY2" i="13"/>
  <c r="BY56" i="13" s="1"/>
  <c r="BC40" i="13"/>
  <c r="BC37" i="13"/>
  <c r="BC18" i="13"/>
  <c r="BC17" i="13"/>
  <c r="BC6" i="13"/>
  <c r="BC3" i="13"/>
  <c r="J138" i="15" s="1"/>
  <c r="BX33" i="13"/>
  <c r="BX46" i="13" s="1"/>
  <c r="BX56" i="13" s="1"/>
  <c r="X33" i="13"/>
  <c r="X46" i="13" s="1"/>
  <c r="X56" i="13" s="1"/>
  <c r="Y33" i="13"/>
  <c r="Y46" i="13" s="1"/>
  <c r="Y56" i="13" s="1"/>
  <c r="Z33" i="13"/>
  <c r="Z46" i="13" s="1"/>
  <c r="Z56" i="13" s="1"/>
  <c r="Z103" i="13"/>
  <c r="Z116" i="13" s="1"/>
  <c r="Y103" i="13"/>
  <c r="Y116" i="13" s="1"/>
  <c r="X103" i="13"/>
  <c r="X116" i="13" s="1"/>
  <c r="BX103" i="13"/>
  <c r="BX116" i="13" s="1"/>
  <c r="BX121" i="13" s="1"/>
  <c r="V103" i="13"/>
  <c r="V116" i="13" s="1"/>
  <c r="U103" i="13"/>
  <c r="U116" i="13" s="1"/>
  <c r="T103" i="13"/>
  <c r="T116" i="13" s="1"/>
  <c r="S103" i="13"/>
  <c r="S116" i="13" s="1"/>
  <c r="V111" i="13"/>
  <c r="BX167" i="13"/>
  <c r="BN32" i="1" l="1"/>
  <c r="BR16" i="1"/>
  <c r="BR5" i="1"/>
  <c r="BQ5" i="1"/>
  <c r="BQ16" i="1"/>
  <c r="EB16" i="1" s="1"/>
  <c r="BP296" i="1"/>
  <c r="BI62" i="13"/>
  <c r="BQ296" i="1"/>
  <c r="BJ62" i="13"/>
  <c r="W69" i="13"/>
  <c r="K281" i="15" s="1"/>
  <c r="AA12" i="13"/>
  <c r="W67" i="13"/>
  <c r="K279" i="15" s="1"/>
  <c r="BH8" i="13"/>
  <c r="AA10" i="13"/>
  <c r="AA68" i="13" s="1"/>
  <c r="BO296" i="1"/>
  <c r="BO298" i="1" s="1"/>
  <c r="U121" i="13"/>
  <c r="I326" i="15" s="1"/>
  <c r="I303" i="15"/>
  <c r="T121" i="13"/>
  <c r="H326" i="15" s="1"/>
  <c r="H303" i="15"/>
  <c r="V121" i="13"/>
  <c r="J326" i="15" s="1"/>
  <c r="J303" i="15"/>
  <c r="Z121" i="13"/>
  <c r="N326" i="15" s="1"/>
  <c r="N303" i="15"/>
  <c r="S121" i="13"/>
  <c r="G326" i="15" s="1"/>
  <c r="G303" i="15"/>
  <c r="X121" i="13"/>
  <c r="L326" i="15" s="1"/>
  <c r="L303" i="15"/>
  <c r="Y121" i="13"/>
  <c r="M326" i="15" s="1"/>
  <c r="M303" i="15"/>
  <c r="BF56" i="13"/>
  <c r="M137" i="15"/>
  <c r="BE56" i="13"/>
  <c r="L137" i="15"/>
  <c r="BG56" i="13"/>
  <c r="N137" i="15"/>
  <c r="Y60" i="13"/>
  <c r="Z60" i="13"/>
  <c r="BG17" i="13"/>
  <c r="BP292" i="1"/>
  <c r="BP255" i="1"/>
  <c r="BP245" i="1"/>
  <c r="BP301" i="1" s="1"/>
  <c r="X60" i="13"/>
  <c r="W100" i="13"/>
  <c r="BQ22" i="1"/>
  <c r="BQ20" i="1"/>
  <c r="BL22" i="1"/>
  <c r="W118" i="13"/>
  <c r="K305" i="15" s="1"/>
  <c r="W68" i="13"/>
  <c r="K280" i="15" s="1"/>
  <c r="BO235" i="1"/>
  <c r="EA16" i="1"/>
  <c r="BM22" i="1"/>
  <c r="X68" i="13"/>
  <c r="L280" i="15" s="1"/>
  <c r="BO10" i="1"/>
  <c r="BO32" i="1"/>
  <c r="BQ278" i="1"/>
  <c r="BN4" i="1"/>
  <c r="BQ269" i="1"/>
  <c r="Y94" i="13"/>
  <c r="BX19" i="13"/>
  <c r="BX20" i="13" s="1"/>
  <c r="AB108" i="9"/>
  <c r="AB61" i="9" s="1"/>
  <c r="AB107" i="9"/>
  <c r="AB60" i="9" s="1"/>
  <c r="AB109" i="9"/>
  <c r="AB46" i="5"/>
  <c r="AB47" i="5" s="1"/>
  <c r="AB36" i="5"/>
  <c r="AB29" i="5"/>
  <c r="AB30" i="5"/>
  <c r="AB37" i="5"/>
  <c r="AB31" i="5"/>
  <c r="AB38" i="5"/>
  <c r="AB262" i="5"/>
  <c r="AB32" i="5"/>
  <c r="AB39" i="5"/>
  <c r="BX69" i="13"/>
  <c r="W64" i="13"/>
  <c r="W73" i="13"/>
  <c r="BH73" i="13" s="1"/>
  <c r="W86" i="13"/>
  <c r="BM10" i="1"/>
  <c r="BM32" i="1"/>
  <c r="BN10" i="1"/>
  <c r="BX93" i="13"/>
  <c r="X19" i="13"/>
  <c r="BI19" i="13" s="1"/>
  <c r="BX88" i="13"/>
  <c r="BX76" i="13" s="1"/>
  <c r="BX66" i="13"/>
  <c r="BX97" i="13" s="1"/>
  <c r="Y88" i="13"/>
  <c r="Y76" i="13" s="1"/>
  <c r="Y66" i="13"/>
  <c r="Y97" i="13" s="1"/>
  <c r="Z88" i="13"/>
  <c r="Z76" i="13" s="1"/>
  <c r="Z66" i="13"/>
  <c r="Z97" i="13" s="1"/>
  <c r="X88" i="13"/>
  <c r="X76" i="13" s="1"/>
  <c r="X66" i="13"/>
  <c r="X97" i="13" s="1"/>
  <c r="V137" i="13"/>
  <c r="V114" i="13"/>
  <c r="V105" i="13"/>
  <c r="V104" i="13"/>
  <c r="BN249" i="1"/>
  <c r="BR251" i="1" s="1"/>
  <c r="BN280" i="1"/>
  <c r="BM280" i="1"/>
  <c r="BN279" i="1"/>
  <c r="BM279" i="1"/>
  <c r="BN269" i="1"/>
  <c r="BN276" i="1"/>
  <c r="BM276" i="1"/>
  <c r="BM269" i="1"/>
  <c r="V54" i="13"/>
  <c r="V49" i="13"/>
  <c r="V58" i="13"/>
  <c r="V57" i="13"/>
  <c r="V41" i="13"/>
  <c r="V36" i="13"/>
  <c r="V19" i="13"/>
  <c r="U13" i="13"/>
  <c r="V9" i="13"/>
  <c r="V8" i="13"/>
  <c r="BN123" i="1"/>
  <c r="BN132" i="1" s="1"/>
  <c r="V4" i="13"/>
  <c r="D1205" i="7"/>
  <c r="C1213" i="7"/>
  <c r="C1204" i="7"/>
  <c r="M78" i="15"/>
  <c r="M81" i="15" s="1"/>
  <c r="M72" i="15"/>
  <c r="I28" i="15"/>
  <c r="I27" i="15"/>
  <c r="U146" i="13"/>
  <c r="V146" i="13" s="1"/>
  <c r="U117" i="13"/>
  <c r="I304" i="15" s="1"/>
  <c r="U108" i="13"/>
  <c r="U104" i="13"/>
  <c r="U114" i="13"/>
  <c r="U111" i="13"/>
  <c r="U105" i="13" s="1"/>
  <c r="U137" i="13"/>
  <c r="F17" i="15"/>
  <c r="BM286" i="1"/>
  <c r="BM233" i="1"/>
  <c r="BM278" i="1" s="1"/>
  <c r="BM249" i="1"/>
  <c r="BQ251" i="1" s="1"/>
  <c r="U54" i="13"/>
  <c r="U62" i="13"/>
  <c r="U58" i="13"/>
  <c r="U57" i="13"/>
  <c r="U36" i="13"/>
  <c r="U41" i="13"/>
  <c r="U63" i="13" s="1"/>
  <c r="BB40" i="13"/>
  <c r="BB37" i="13"/>
  <c r="BB18" i="13"/>
  <c r="BB17" i="13"/>
  <c r="BB6" i="13"/>
  <c r="BB3" i="13"/>
  <c r="I138" i="15" s="1"/>
  <c r="BB2" i="13"/>
  <c r="I193" i="15" s="1"/>
  <c r="U19" i="13"/>
  <c r="U20" i="13" s="1"/>
  <c r="U9" i="13"/>
  <c r="U8" i="13"/>
  <c r="U4" i="13"/>
  <c r="BM123" i="1"/>
  <c r="BM132" i="1" s="1"/>
  <c r="BM20" i="1" s="1"/>
  <c r="U33" i="13"/>
  <c r="U46" i="13" s="1"/>
  <c r="U56" i="13" s="1"/>
  <c r="U88" i="13" s="1"/>
  <c r="U76" i="13" s="1"/>
  <c r="U49" i="13"/>
  <c r="C1193" i="7"/>
  <c r="AA118" i="13" l="1"/>
  <c r="AA128" i="13"/>
  <c r="AA99" i="13"/>
  <c r="BR253" i="1"/>
  <c r="J238" i="15"/>
  <c r="BH12" i="13"/>
  <c r="AA127" i="13"/>
  <c r="AA100" i="13"/>
  <c r="AA69" i="13"/>
  <c r="BQ253" i="1"/>
  <c r="I238" i="15"/>
  <c r="BR22" i="1"/>
  <c r="BR20" i="1"/>
  <c r="BH10" i="13"/>
  <c r="AA13" i="13"/>
  <c r="W70" i="13"/>
  <c r="K282" i="15" s="1"/>
  <c r="BH64" i="13"/>
  <c r="AC37" i="13"/>
  <c r="BJ60" i="13"/>
  <c r="X67" i="13"/>
  <c r="L279" i="15" s="1"/>
  <c r="AA37" i="13"/>
  <c r="BH60" i="13"/>
  <c r="BC9" i="13"/>
  <c r="BG9" i="13"/>
  <c r="BG8" i="13"/>
  <c r="BF8" i="13"/>
  <c r="BB9" i="13"/>
  <c r="BF9" i="13"/>
  <c r="BB56" i="13"/>
  <c r="I137" i="15"/>
  <c r="BO292" i="1"/>
  <c r="BO297" i="1" s="1"/>
  <c r="BO255" i="1"/>
  <c r="BO245" i="1"/>
  <c r="BO301" i="1" s="1"/>
  <c r="BO302" i="1" s="1"/>
  <c r="BO303" i="1" s="1"/>
  <c r="BO250" i="1"/>
  <c r="BO254" i="1"/>
  <c r="BP297" i="1"/>
  <c r="BP298" i="1"/>
  <c r="BP302" i="1"/>
  <c r="BP303" i="1" s="1"/>
  <c r="Y20" i="13"/>
  <c r="Y31" i="13"/>
  <c r="X20" i="13"/>
  <c r="BN5" i="1"/>
  <c r="BO16" i="1"/>
  <c r="BO5" i="1"/>
  <c r="BN16" i="1"/>
  <c r="BD13" i="13"/>
  <c r="W119" i="13"/>
  <c r="K306" i="15" s="1"/>
  <c r="AB86" i="9"/>
  <c r="AB79" i="9"/>
  <c r="AB71" i="9"/>
  <c r="AB158" i="9"/>
  <c r="AB62" i="9"/>
  <c r="AB70" i="9"/>
  <c r="AB85" i="9"/>
  <c r="AB78" i="9"/>
  <c r="AB41" i="5"/>
  <c r="AB48" i="5"/>
  <c r="BF19" i="13"/>
  <c r="U5" i="13"/>
  <c r="U119" i="13"/>
  <c r="I306" i="15" s="1"/>
  <c r="BB13" i="13"/>
  <c r="BF62" i="13"/>
  <c r="BQ298" i="1"/>
  <c r="BX123" i="13"/>
  <c r="BN254" i="1"/>
  <c r="BM293" i="1"/>
  <c r="BN250" i="1"/>
  <c r="BM256" i="1"/>
  <c r="BQ257" i="1" s="1"/>
  <c r="BN256" i="1"/>
  <c r="BR257" i="1" s="1"/>
  <c r="V12" i="13"/>
  <c r="V59" i="13"/>
  <c r="V60" i="13" s="1"/>
  <c r="H12" i="15" s="1"/>
  <c r="V10" i="13"/>
  <c r="H7" i="15" s="1"/>
  <c r="H8" i="15" s="1"/>
  <c r="V5" i="13"/>
  <c r="V106" i="13"/>
  <c r="U59" i="13"/>
  <c r="U60" i="13" s="1"/>
  <c r="U118" i="13"/>
  <c r="I305" i="15" s="1"/>
  <c r="BM296" i="1"/>
  <c r="U106" i="13"/>
  <c r="U107" i="13" s="1"/>
  <c r="U66" i="13"/>
  <c r="U97" i="13" s="1"/>
  <c r="U94" i="13"/>
  <c r="U10" i="13"/>
  <c r="U12" i="13"/>
  <c r="C1197" i="7"/>
  <c r="BH37" i="13" l="1"/>
  <c r="AA42" i="13"/>
  <c r="BJ37" i="13"/>
  <c r="AC42" i="13"/>
  <c r="BH13" i="13"/>
  <c r="AA129" i="13"/>
  <c r="AA119" i="13"/>
  <c r="AA70" i="13"/>
  <c r="AA101" i="13"/>
  <c r="AB37" i="13"/>
  <c r="BI60" i="13"/>
  <c r="X86" i="13"/>
  <c r="BI20" i="13"/>
  <c r="BF20" i="13"/>
  <c r="BJ20" i="13"/>
  <c r="BN22" i="1"/>
  <c r="BO22" i="1"/>
  <c r="BO20" i="1"/>
  <c r="BN20" i="1"/>
  <c r="V73" i="13"/>
  <c r="AB75" i="9"/>
  <c r="AB161" i="9"/>
  <c r="AB159" i="9"/>
  <c r="AB125" i="9"/>
  <c r="AB80" i="9"/>
  <c r="AB87" i="9"/>
  <c r="AB58" i="9"/>
  <c r="AB72" i="9"/>
  <c r="BF4" i="13"/>
  <c r="M194" i="15" s="1"/>
  <c r="V67" i="13"/>
  <c r="J279" i="15" s="1"/>
  <c r="U68" i="13"/>
  <c r="I280" i="15" s="1"/>
  <c r="U69" i="13"/>
  <c r="I281" i="15" s="1"/>
  <c r="BM298" i="1"/>
  <c r="BM235" i="1"/>
  <c r="BM255" i="1" s="1"/>
  <c r="U100" i="13"/>
  <c r="U64" i="13"/>
  <c r="U67" i="13"/>
  <c r="I279" i="15" s="1"/>
  <c r="U86" i="13"/>
  <c r="U73" i="13"/>
  <c r="T108" i="13"/>
  <c r="T104" i="13"/>
  <c r="BI37" i="13" l="1"/>
  <c r="AB42" i="13"/>
  <c r="AA141" i="13"/>
  <c r="AB141" i="13"/>
  <c r="AC141" i="13"/>
  <c r="AB193" i="9"/>
  <c r="AB126" i="9"/>
  <c r="AB190" i="9"/>
  <c r="Y117" i="13"/>
  <c r="M304" i="15" s="1"/>
  <c r="BF6" i="13"/>
  <c r="U70" i="13"/>
  <c r="I282" i="15" s="1"/>
  <c r="BM292" i="1"/>
  <c r="BM297" i="1" s="1"/>
  <c r="BM245" i="1"/>
  <c r="S114" i="13"/>
  <c r="Q114" i="13"/>
  <c r="P114" i="13"/>
  <c r="O114" i="13"/>
  <c r="K114" i="13"/>
  <c r="G114" i="13"/>
  <c r="T114" i="13"/>
  <c r="AB127" i="9" l="1"/>
  <c r="Y119" i="13"/>
  <c r="M306" i="15" s="1"/>
  <c r="BF13" i="13"/>
  <c r="BM301" i="1"/>
  <c r="BM302" i="1" s="1"/>
  <c r="BM303" i="1" s="1"/>
  <c r="K71" i="15"/>
  <c r="J71" i="15"/>
  <c r="I71" i="15"/>
  <c r="H71" i="15"/>
  <c r="G71" i="15"/>
  <c r="F71" i="15"/>
  <c r="E71" i="15"/>
  <c r="D71" i="15"/>
  <c r="C71" i="15"/>
  <c r="K81" i="15"/>
  <c r="L78" i="15"/>
  <c r="H27" i="15"/>
  <c r="H28" i="15"/>
  <c r="G28" i="15"/>
  <c r="T9" i="13"/>
  <c r="BL280" i="1"/>
  <c r="BL279" i="1"/>
  <c r="BL276" i="1"/>
  <c r="BL269" i="1"/>
  <c r="BL286" i="1"/>
  <c r="BN233" i="1"/>
  <c r="BN278" i="1" s="1"/>
  <c r="BL122" i="1"/>
  <c r="BL233" i="1" s="1"/>
  <c r="BL278" i="1" s="1"/>
  <c r="BL249" i="1"/>
  <c r="BP251" i="1" s="1"/>
  <c r="BL123" i="1"/>
  <c r="BL132" i="1" s="1"/>
  <c r="BL20" i="1" s="1"/>
  <c r="BP253" i="1" l="1"/>
  <c r="H238" i="15"/>
  <c r="BA9" i="13"/>
  <c r="BE9" i="13"/>
  <c r="BF37" i="13"/>
  <c r="BM250" i="1"/>
  <c r="BM254" i="1"/>
  <c r="BL256" i="1"/>
  <c r="BP257" i="1" s="1"/>
  <c r="BL293" i="1"/>
  <c r="T6" i="13"/>
  <c r="H120" i="12" s="1"/>
  <c r="T4" i="13"/>
  <c r="T37" i="13"/>
  <c r="T38" i="13" s="1"/>
  <c r="T42" i="13"/>
  <c r="W141" i="13" s="1"/>
  <c r="T13" i="13"/>
  <c r="H7" i="12" s="1"/>
  <c r="H62" i="12" s="1"/>
  <c r="BP294" i="1" l="1"/>
  <c r="BR294" i="1"/>
  <c r="V141" i="13"/>
  <c r="H14" i="12"/>
  <c r="H67" i="12" s="1"/>
  <c r="T36" i="13"/>
  <c r="H131" i="12"/>
  <c r="BE4" i="13"/>
  <c r="L194" i="15" s="1"/>
  <c r="T158" i="13"/>
  <c r="U141" i="13"/>
  <c r="F15" i="15"/>
  <c r="L81" i="15"/>
  <c r="L72" i="15"/>
  <c r="L69" i="15"/>
  <c r="L77" i="15" s="1"/>
  <c r="L87" i="15" s="1"/>
  <c r="K72" i="15"/>
  <c r="J72" i="15"/>
  <c r="I72" i="15"/>
  <c r="H72" i="15"/>
  <c r="G72" i="15"/>
  <c r="F72" i="15"/>
  <c r="E72" i="15"/>
  <c r="D72" i="15"/>
  <c r="C72" i="15"/>
  <c r="K69" i="15"/>
  <c r="K77" i="15" s="1"/>
  <c r="K87" i="15" s="1"/>
  <c r="J69" i="15"/>
  <c r="J77" i="15" s="1"/>
  <c r="J87" i="15" s="1"/>
  <c r="I69" i="15"/>
  <c r="I77" i="15" s="1"/>
  <c r="I87" i="15" s="1"/>
  <c r="H69" i="15"/>
  <c r="H77" i="15" s="1"/>
  <c r="H87" i="15" s="1"/>
  <c r="G69" i="15"/>
  <c r="G77" i="15" s="1"/>
  <c r="G87" i="15" s="1"/>
  <c r="F69" i="15"/>
  <c r="F77" i="15" s="1"/>
  <c r="F87" i="15" s="1"/>
  <c r="E69" i="15"/>
  <c r="E77" i="15" s="1"/>
  <c r="E87" i="15" s="1"/>
  <c r="D69" i="15"/>
  <c r="D77" i="15" s="1"/>
  <c r="D87" i="15" s="1"/>
  <c r="C69" i="15"/>
  <c r="C77" i="15" s="1"/>
  <c r="C87" i="15" s="1"/>
  <c r="F16" i="15" l="1"/>
  <c r="H130" i="12"/>
  <c r="H133" i="12"/>
  <c r="H134" i="12" s="1"/>
  <c r="BE6" i="13"/>
  <c r="X117" i="13"/>
  <c r="L304" i="15" s="1"/>
  <c r="BA40" i="13"/>
  <c r="BA37" i="13"/>
  <c r="BA3" i="13"/>
  <c r="H138" i="15" s="1"/>
  <c r="BA2" i="13"/>
  <c r="H193" i="15" s="1"/>
  <c r="S169" i="13"/>
  <c r="T5" i="13"/>
  <c r="T141" i="13"/>
  <c r="T137" i="13"/>
  <c r="T119" i="13"/>
  <c r="H306" i="15" s="1"/>
  <c r="T117" i="13"/>
  <c r="H304" i="15" s="1"/>
  <c r="T111" i="13"/>
  <c r="T105" i="13" s="1"/>
  <c r="T106" i="13" s="1"/>
  <c r="T107" i="13" s="1"/>
  <c r="T62" i="13"/>
  <c r="BE62" i="13" s="1"/>
  <c r="T58" i="13"/>
  <c r="T57" i="13"/>
  <c r="T49" i="13"/>
  <c r="T41" i="13"/>
  <c r="T63" i="13" s="1"/>
  <c r="T33" i="13"/>
  <c r="T46" i="13" s="1"/>
  <c r="T56" i="13" s="1"/>
  <c r="T19" i="13"/>
  <c r="BE19" i="13" s="1"/>
  <c r="T8" i="13"/>
  <c r="G27" i="15"/>
  <c r="F27" i="15"/>
  <c r="B13" i="15"/>
  <c r="B17" i="15" s="1"/>
  <c r="B12" i="15"/>
  <c r="B16" i="15" s="1"/>
  <c r="AT28" i="1"/>
  <c r="AP28" i="1"/>
  <c r="BJ241" i="1"/>
  <c r="BG237" i="1"/>
  <c r="BG243" i="1"/>
  <c r="BJ243" i="1"/>
  <c r="BI243" i="1"/>
  <c r="BH243" i="1"/>
  <c r="BK243" i="1"/>
  <c r="S137" i="13"/>
  <c r="E86" i="12"/>
  <c r="BK16" i="1"/>
  <c r="BJ16" i="1"/>
  <c r="AZ40" i="13"/>
  <c r="AY40" i="13"/>
  <c r="AX40" i="13"/>
  <c r="AW40" i="13"/>
  <c r="AU40" i="13"/>
  <c r="AT40" i="13"/>
  <c r="AS40" i="13"/>
  <c r="AZ37" i="13"/>
  <c r="AY37" i="13"/>
  <c r="AX37" i="13"/>
  <c r="AV37" i="13"/>
  <c r="AT37" i="13"/>
  <c r="AR37" i="13"/>
  <c r="BE8" i="13" l="1"/>
  <c r="BA56" i="13"/>
  <c r="H137" i="15"/>
  <c r="BJ22" i="1"/>
  <c r="DY16" i="1"/>
  <c r="BK22" i="1"/>
  <c r="DZ16" i="1"/>
  <c r="T12" i="13"/>
  <c r="X31" i="13"/>
  <c r="X73" i="13"/>
  <c r="BI73" i="13" s="1"/>
  <c r="X64" i="13"/>
  <c r="BL296" i="1"/>
  <c r="BP295" i="1" s="1"/>
  <c r="T20" i="13"/>
  <c r="BE20" i="13" s="1"/>
  <c r="T59" i="13"/>
  <c r="T60" i="13" s="1"/>
  <c r="BE60" i="13" s="1"/>
  <c r="T10" i="13"/>
  <c r="T118" i="13"/>
  <c r="H305" i="15" s="1"/>
  <c r="T66" i="13"/>
  <c r="T97" i="13" s="1"/>
  <c r="T88" i="13"/>
  <c r="T76" i="13" s="1"/>
  <c r="T94" i="13"/>
  <c r="X70" i="13" l="1"/>
  <c r="L282" i="15" s="1"/>
  <c r="BI64" i="13"/>
  <c r="T100" i="13"/>
  <c r="T69" i="13"/>
  <c r="H281" i="15" s="1"/>
  <c r="BE37" i="13"/>
  <c r="T68" i="13"/>
  <c r="T73" i="13"/>
  <c r="BE73" i="13" s="1"/>
  <c r="L89" i="15"/>
  <c r="BL298" i="1"/>
  <c r="BL235" i="1"/>
  <c r="L90" i="15"/>
  <c r="T86" i="13"/>
  <c r="T67" i="13"/>
  <c r="T64" i="13"/>
  <c r="BK12" i="1"/>
  <c r="BK11" i="1"/>
  <c r="BJ12" i="1"/>
  <c r="BJ11" i="1"/>
  <c r="BK6" i="1"/>
  <c r="BJ6" i="1"/>
  <c r="BK5" i="1"/>
  <c r="BJ5" i="1"/>
  <c r="L93" i="15" l="1"/>
  <c r="H280" i="15"/>
  <c r="L88" i="15"/>
  <c r="H279" i="15"/>
  <c r="BK32" i="1"/>
  <c r="BE64" i="13"/>
  <c r="BL32" i="1"/>
  <c r="BL10" i="1"/>
  <c r="BE10" i="13"/>
  <c r="X118" i="13"/>
  <c r="L305" i="15" s="1"/>
  <c r="BK10" i="1"/>
  <c r="BL255" i="1"/>
  <c r="BL292" i="1"/>
  <c r="BL297" i="1" s="1"/>
  <c r="BL245" i="1"/>
  <c r="BL301" i="1" s="1"/>
  <c r="BL302" i="1" s="1"/>
  <c r="BL303" i="1" s="1"/>
  <c r="T70" i="13"/>
  <c r="H282" i="15" s="1"/>
  <c r="S49" i="13"/>
  <c r="V108" i="13"/>
  <c r="V107" i="13" s="1"/>
  <c r="S111" i="13"/>
  <c r="S141" i="13"/>
  <c r="S119" i="13"/>
  <c r="G306" i="15" s="1"/>
  <c r="S117" i="13"/>
  <c r="G304" i="15" s="1"/>
  <c r="AZ176" i="13"/>
  <c r="AZ175" i="13"/>
  <c r="AZ174" i="13"/>
  <c r="AZ173" i="13"/>
  <c r="AZ172" i="13"/>
  <c r="AZ171" i="13"/>
  <c r="AZ170" i="13"/>
  <c r="AZ6" i="13"/>
  <c r="AZ3" i="13"/>
  <c r="G138" i="15" s="1"/>
  <c r="AZ2" i="13"/>
  <c r="S108" i="13"/>
  <c r="S104" i="13"/>
  <c r="S62" i="13"/>
  <c r="BD62" i="13" s="1"/>
  <c r="S58" i="13"/>
  <c r="S57" i="13"/>
  <c r="S36" i="13"/>
  <c r="H20" i="12" s="1"/>
  <c r="S41" i="13"/>
  <c r="S19" i="13"/>
  <c r="S177" i="13"/>
  <c r="S4" i="13" s="1"/>
  <c r="BD4" i="13" s="1"/>
  <c r="K194" i="15" s="1"/>
  <c r="BK123" i="1"/>
  <c r="BK132" i="1" s="1"/>
  <c r="BK20" i="1" s="1"/>
  <c r="S8" i="13"/>
  <c r="BK280" i="1"/>
  <c r="BK279" i="1"/>
  <c r="BK276" i="1"/>
  <c r="BK269" i="1"/>
  <c r="BK249" i="1"/>
  <c r="BO251" i="1" s="1"/>
  <c r="BK286" i="1"/>
  <c r="S33" i="13"/>
  <c r="S46" i="13" s="1"/>
  <c r="S56" i="13" s="1"/>
  <c r="BN286" i="1"/>
  <c r="BN291" i="1"/>
  <c r="J27" i="15" s="1"/>
  <c r="H205" i="12"/>
  <c r="R8" i="13"/>
  <c r="BJ123" i="1"/>
  <c r="BJ132" i="1" s="1"/>
  <c r="BJ20" i="1" s="1"/>
  <c r="C1164" i="7"/>
  <c r="C1156" i="7"/>
  <c r="C1153" i="7"/>
  <c r="C1151" i="7"/>
  <c r="C1134" i="7"/>
  <c r="B1135" i="7"/>
  <c r="B1139" i="7" s="1"/>
  <c r="B1134" i="7"/>
  <c r="B1138" i="7" s="1"/>
  <c r="C1130" i="7"/>
  <c r="C1127" i="7"/>
  <c r="D1204" i="7" s="1"/>
  <c r="D332" i="2"/>
  <c r="E320" i="2"/>
  <c r="C306" i="2"/>
  <c r="C303" i="2"/>
  <c r="C308" i="2" s="1"/>
  <c r="C299" i="2"/>
  <c r="C300" i="2" s="1"/>
  <c r="C295" i="2"/>
  <c r="AY176" i="13"/>
  <c r="AX176" i="13"/>
  <c r="AW176" i="13"/>
  <c r="AV176" i="13"/>
  <c r="AY175" i="13"/>
  <c r="AX175" i="13"/>
  <c r="AW175" i="13"/>
  <c r="AV175" i="13"/>
  <c r="AY174" i="13"/>
  <c r="AX174" i="13"/>
  <c r="AW174" i="13"/>
  <c r="AV174" i="13"/>
  <c r="AY173" i="13"/>
  <c r="AX173" i="13"/>
  <c r="AW173" i="13"/>
  <c r="AV173" i="13"/>
  <c r="AY172" i="13"/>
  <c r="AX172" i="13"/>
  <c r="AW172" i="13"/>
  <c r="AV172" i="13"/>
  <c r="AY171" i="13"/>
  <c r="AX171" i="13"/>
  <c r="AW171" i="13"/>
  <c r="AV171" i="13"/>
  <c r="AY170" i="13"/>
  <c r="AX170" i="13"/>
  <c r="AW170" i="13"/>
  <c r="AV170" i="13"/>
  <c r="AU176" i="13"/>
  <c r="AT176" i="13"/>
  <c r="AS176" i="13"/>
  <c r="AR176" i="13"/>
  <c r="AU175" i="13"/>
  <c r="AT175" i="13"/>
  <c r="AS175" i="13"/>
  <c r="AR175" i="13"/>
  <c r="AU174" i="13"/>
  <c r="AT174" i="13"/>
  <c r="AS174" i="13"/>
  <c r="AR174" i="13"/>
  <c r="AU173" i="13"/>
  <c r="AT173" i="13"/>
  <c r="AS173" i="13"/>
  <c r="AR173" i="13"/>
  <c r="AU172" i="13"/>
  <c r="AT172" i="13"/>
  <c r="AS172" i="13"/>
  <c r="AR172" i="13"/>
  <c r="AU171" i="13"/>
  <c r="AT171" i="13"/>
  <c r="AS171" i="13"/>
  <c r="AR171" i="13"/>
  <c r="AU170" i="13"/>
  <c r="AT170" i="13"/>
  <c r="AS170" i="13"/>
  <c r="AR170" i="13"/>
  <c r="F156" i="12"/>
  <c r="G156" i="12"/>
  <c r="BC2" i="13"/>
  <c r="J193" i="15" s="1"/>
  <c r="R169" i="13"/>
  <c r="Q169" i="13"/>
  <c r="P169" i="13"/>
  <c r="O169" i="13"/>
  <c r="N169" i="13"/>
  <c r="M169" i="13"/>
  <c r="L169" i="13"/>
  <c r="V33" i="13"/>
  <c r="V46" i="13" s="1"/>
  <c r="V56" i="13" s="1"/>
  <c r="V63" i="13"/>
  <c r="V69" i="13" s="1"/>
  <c r="J281" i="15" s="1"/>
  <c r="BO253" i="1" l="1"/>
  <c r="G238" i="15"/>
  <c r="G137" i="15"/>
  <c r="G193" i="15"/>
  <c r="V31" i="13"/>
  <c r="BC8" i="13"/>
  <c r="W31" i="13"/>
  <c r="BD8" i="13"/>
  <c r="BC56" i="13"/>
  <c r="J137" i="15"/>
  <c r="AZ169" i="13"/>
  <c r="AZ56" i="13"/>
  <c r="BY19" i="13"/>
  <c r="BD19" i="13"/>
  <c r="BX4" i="13"/>
  <c r="H117" i="12"/>
  <c r="S105" i="13"/>
  <c r="S106" i="13" s="1"/>
  <c r="S107" i="13" s="1"/>
  <c r="H38" i="12"/>
  <c r="H48" i="12" s="1"/>
  <c r="H49" i="12" s="1"/>
  <c r="BY62" i="13"/>
  <c r="BL254" i="1"/>
  <c r="S10" i="13"/>
  <c r="BD10" i="13" s="1"/>
  <c r="BN235" i="1"/>
  <c r="E1204" i="7"/>
  <c r="S20" i="13"/>
  <c r="BL250" i="1"/>
  <c r="BK293" i="1"/>
  <c r="C1128" i="7"/>
  <c r="C1137" i="7" s="1"/>
  <c r="H86" i="12"/>
  <c r="BK256" i="1"/>
  <c r="BO257" i="1" s="1"/>
  <c r="V20" i="13"/>
  <c r="S5" i="13"/>
  <c r="S63" i="13"/>
  <c r="S94" i="13" s="1"/>
  <c r="V117" i="13"/>
  <c r="J304" i="15" s="1"/>
  <c r="BK296" i="1"/>
  <c r="BO295" i="1" s="1"/>
  <c r="S118" i="13"/>
  <c r="G305" i="15" s="1"/>
  <c r="S12" i="13"/>
  <c r="BD12" i="13" s="1"/>
  <c r="S59" i="13"/>
  <c r="S60" i="13" s="1"/>
  <c r="BD60" i="13" s="1"/>
  <c r="S88" i="13"/>
  <c r="S76" i="13" s="1"/>
  <c r="S66" i="13"/>
  <c r="S97" i="13" s="1"/>
  <c r="C1165" i="7"/>
  <c r="D1165" i="7" s="1"/>
  <c r="C1152" i="7"/>
  <c r="C1131" i="7"/>
  <c r="C1139" i="7" s="1"/>
  <c r="C307" i="2"/>
  <c r="F307" i="2" s="1"/>
  <c r="F303" i="2"/>
  <c r="V66" i="13"/>
  <c r="V97" i="13" s="1"/>
  <c r="V88" i="13"/>
  <c r="V76" i="13" s="1"/>
  <c r="V94" i="13"/>
  <c r="V100" i="13" s="1"/>
  <c r="G206" i="12"/>
  <c r="G205" i="12"/>
  <c r="G20" i="12"/>
  <c r="H119" i="12" l="1"/>
  <c r="I118" i="12"/>
  <c r="BQ294" i="1"/>
  <c r="BO294" i="1"/>
  <c r="BY20" i="13"/>
  <c r="BD20" i="13"/>
  <c r="BK298" i="1"/>
  <c r="BQ295" i="1"/>
  <c r="V86" i="13"/>
  <c r="BX6" i="13"/>
  <c r="BY4" i="13"/>
  <c r="BN255" i="1"/>
  <c r="BN245" i="1"/>
  <c r="H157" i="12"/>
  <c r="H156" i="12" s="1"/>
  <c r="BY12" i="13"/>
  <c r="BK235" i="1"/>
  <c r="BK245" i="1" s="1"/>
  <c r="BK301" i="1" s="1"/>
  <c r="BK302" i="1" s="1"/>
  <c r="BK303" i="1" s="1"/>
  <c r="S68" i="13"/>
  <c r="C1143" i="7"/>
  <c r="C1138" i="7"/>
  <c r="C1142" i="7"/>
  <c r="S73" i="13"/>
  <c r="BD73" i="13" s="1"/>
  <c r="K90" i="15"/>
  <c r="S69" i="13"/>
  <c r="G281" i="15" s="1"/>
  <c r="S100" i="13"/>
  <c r="S64" i="13"/>
  <c r="BD64" i="13" s="1"/>
  <c r="S67" i="13"/>
  <c r="S86" i="13"/>
  <c r="C1166" i="7"/>
  <c r="G14" i="12"/>
  <c r="C1155" i="7" s="1"/>
  <c r="G70" i="12"/>
  <c r="R158" i="13"/>
  <c r="Q158" i="13"/>
  <c r="G239" i="12"/>
  <c r="G233" i="12"/>
  <c r="G228" i="12"/>
  <c r="G225" i="12"/>
  <c r="G220" i="12"/>
  <c r="G194" i="12"/>
  <c r="H195" i="12" s="1"/>
  <c r="G191" i="12"/>
  <c r="H192" i="12" s="1"/>
  <c r="D264" i="12"/>
  <c r="E257" i="12"/>
  <c r="E237" i="12"/>
  <c r="G279" i="12"/>
  <c r="H279" i="12" s="1"/>
  <c r="I279" i="12" s="1"/>
  <c r="J279" i="12" s="1"/>
  <c r="K279" i="12" s="1"/>
  <c r="L279" i="12" s="1"/>
  <c r="M279" i="12" s="1"/>
  <c r="N279" i="12" s="1"/>
  <c r="O279" i="12" s="1"/>
  <c r="P279" i="12" s="1"/>
  <c r="F194" i="12"/>
  <c r="F191" i="12"/>
  <c r="D130" i="12"/>
  <c r="G131" i="12"/>
  <c r="G130" i="12" s="1"/>
  <c r="G115" i="12"/>
  <c r="H116" i="12" s="1"/>
  <c r="K88" i="15" l="1"/>
  <c r="G279" i="15"/>
  <c r="K93" i="15"/>
  <c r="G280" i="15"/>
  <c r="C1144" i="7"/>
  <c r="C1171" i="7" s="1"/>
  <c r="BK255" i="1"/>
  <c r="BX60" i="13"/>
  <c r="BX73" i="13" s="1"/>
  <c r="BY73" i="13" s="1"/>
  <c r="BY6" i="13"/>
  <c r="BX117" i="13"/>
  <c r="BN301" i="1"/>
  <c r="BK292" i="1"/>
  <c r="BK297" i="1" s="1"/>
  <c r="AZ64" i="13"/>
  <c r="S70" i="13"/>
  <c r="G282" i="15" s="1"/>
  <c r="C1157" i="7"/>
  <c r="C1161" i="7" s="1"/>
  <c r="C1160" i="7"/>
  <c r="G195" i="12"/>
  <c r="G192" i="12"/>
  <c r="G25" i="12"/>
  <c r="BI54" i="1"/>
  <c r="BH54" i="1"/>
  <c r="BG54" i="1"/>
  <c r="BI36" i="1"/>
  <c r="BI39" i="1" s="1"/>
  <c r="BH36" i="1"/>
  <c r="BH39" i="1" s="1"/>
  <c r="BG36" i="1"/>
  <c r="BG39" i="1" s="1"/>
  <c r="DR3" i="1"/>
  <c r="DS3" i="1"/>
  <c r="DT3" i="1"/>
  <c r="H176" i="12"/>
  <c r="Q108" i="13"/>
  <c r="Q110" i="13"/>
  <c r="Q117" i="13" s="1"/>
  <c r="E304" i="15" s="1"/>
  <c r="R141" i="13"/>
  <c r="Q141" i="13"/>
  <c r="R121" i="13"/>
  <c r="F326" i="15" s="1"/>
  <c r="Q121" i="13"/>
  <c r="E326" i="15" s="1"/>
  <c r="P121" i="13"/>
  <c r="D326" i="15" s="1"/>
  <c r="O121" i="13"/>
  <c r="C326" i="15" s="1"/>
  <c r="R137" i="13"/>
  <c r="Q119" i="13"/>
  <c r="E306" i="15" s="1"/>
  <c r="R113" i="13"/>
  <c r="R114" i="13" s="1"/>
  <c r="BJ280" i="1"/>
  <c r="BJ279" i="1"/>
  <c r="BJ276" i="1"/>
  <c r="BJ269" i="1"/>
  <c r="BJ249" i="1"/>
  <c r="BJ286" i="1"/>
  <c r="AY3" i="13"/>
  <c r="F138" i="15" s="1"/>
  <c r="AY2" i="13"/>
  <c r="F193" i="15" s="1"/>
  <c r="R19" i="13"/>
  <c r="R41" i="13"/>
  <c r="R63" i="13" s="1"/>
  <c r="R94" i="13" s="1"/>
  <c r="R62" i="13"/>
  <c r="R12" i="13"/>
  <c r="BC12" i="13" s="1"/>
  <c r="R10" i="13"/>
  <c r="BC10" i="13" s="1"/>
  <c r="R177" i="13"/>
  <c r="R47" i="13"/>
  <c r="R57" i="13" s="1"/>
  <c r="R59" i="13"/>
  <c r="R58" i="13"/>
  <c r="R54" i="13"/>
  <c r="R33" i="13"/>
  <c r="R46" i="13" s="1"/>
  <c r="R56" i="13" s="1"/>
  <c r="R66" i="13" s="1"/>
  <c r="R97" i="13" s="1"/>
  <c r="Q137" i="13"/>
  <c r="BI16" i="1"/>
  <c r="BI12" i="1"/>
  <c r="BI11" i="1"/>
  <c r="BI6" i="1"/>
  <c r="BI5" i="1"/>
  <c r="Q56" i="13"/>
  <c r="Q88" i="13" s="1"/>
  <c r="Q76" i="13" s="1"/>
  <c r="AX3" i="13"/>
  <c r="E138" i="15" s="1"/>
  <c r="AX2" i="13"/>
  <c r="E193" i="15" s="1"/>
  <c r="BI280" i="1"/>
  <c r="BI279" i="1"/>
  <c r="BI276" i="1"/>
  <c r="BI269" i="1"/>
  <c r="BI249" i="1"/>
  <c r="BI286" i="1"/>
  <c r="Q58" i="13"/>
  <c r="Q57" i="13"/>
  <c r="Q50" i="13"/>
  <c r="Q54" i="13" s="1"/>
  <c r="Q36" i="13"/>
  <c r="Q59" i="13" s="1"/>
  <c r="Q41" i="13"/>
  <c r="Q63" i="13" s="1"/>
  <c r="Q62" i="13"/>
  <c r="Q8" i="13"/>
  <c r="Q177" i="13"/>
  <c r="Q33" i="13"/>
  <c r="BI123" i="1"/>
  <c r="BI132" i="1" s="1"/>
  <c r="BI233" i="1"/>
  <c r="BI278" i="1" s="1"/>
  <c r="F15" i="10"/>
  <c r="U31" i="13" l="1"/>
  <c r="BF31" i="13" s="1"/>
  <c r="BB8" i="13"/>
  <c r="AX169" i="13"/>
  <c r="E137" i="15"/>
  <c r="AY169" i="13"/>
  <c r="F137" i="15"/>
  <c r="BI22" i="1"/>
  <c r="BI37" i="1" s="1"/>
  <c r="DX16" i="1"/>
  <c r="F1204" i="7"/>
  <c r="C1146" i="7"/>
  <c r="BB62" i="13"/>
  <c r="R20" i="13"/>
  <c r="BC20" i="13" s="1"/>
  <c r="BC19" i="13"/>
  <c r="BX37" i="13"/>
  <c r="BX64" i="13"/>
  <c r="BY64" i="13" s="1"/>
  <c r="BX91" i="13"/>
  <c r="BY60" i="13"/>
  <c r="BN251" i="1"/>
  <c r="BN253" i="1" s="1"/>
  <c r="BK254" i="1"/>
  <c r="BI256" i="1"/>
  <c r="BM257" i="1" s="1"/>
  <c r="BM251" i="1"/>
  <c r="BM253" i="1" s="1"/>
  <c r="G1204" i="7"/>
  <c r="Q12" i="13"/>
  <c r="BJ10" i="1"/>
  <c r="BJ32" i="1"/>
  <c r="BK250" i="1"/>
  <c r="C1167" i="7"/>
  <c r="C1168" i="7" s="1"/>
  <c r="C1169" i="7" s="1"/>
  <c r="R4" i="13"/>
  <c r="Q4" i="13"/>
  <c r="BB4" i="13" s="1"/>
  <c r="I194" i="15" s="1"/>
  <c r="BH41" i="1"/>
  <c r="BH40" i="1"/>
  <c r="BH49" i="1"/>
  <c r="BG40" i="1"/>
  <c r="BG44" i="1"/>
  <c r="BG45" i="1" s="1"/>
  <c r="BG49" i="1"/>
  <c r="BI41" i="1"/>
  <c r="BI40" i="1"/>
  <c r="BI49" i="1"/>
  <c r="BJ296" i="1"/>
  <c r="BJ250" i="1"/>
  <c r="BH44" i="1"/>
  <c r="BI20" i="1"/>
  <c r="BJ254" i="1"/>
  <c r="BI44" i="1"/>
  <c r="BJ256" i="1"/>
  <c r="BN257" i="1" s="1"/>
  <c r="BJ293" i="1"/>
  <c r="R108" i="13"/>
  <c r="R110" i="13"/>
  <c r="R104" i="13" s="1"/>
  <c r="R100" i="13"/>
  <c r="BJ235" i="1"/>
  <c r="BJ292" i="1" s="1"/>
  <c r="Q111" i="13"/>
  <c r="Q105" i="13" s="1"/>
  <c r="Q104" i="13"/>
  <c r="R68" i="13"/>
  <c r="BG41" i="1"/>
  <c r="R119" i="13"/>
  <c r="F306" i="15" s="1"/>
  <c r="BI291" i="1"/>
  <c r="E27" i="15" s="1"/>
  <c r="R69" i="13"/>
  <c r="F281" i="15" s="1"/>
  <c r="R88" i="13"/>
  <c r="R76" i="13" s="1"/>
  <c r="R60" i="13"/>
  <c r="Q66" i="13"/>
  <c r="Q97" i="13" s="1"/>
  <c r="Q60" i="13"/>
  <c r="Q10" i="13"/>
  <c r="BI296" i="1"/>
  <c r="BM295" i="1" s="1"/>
  <c r="Q94" i="13"/>
  <c r="BI293" i="1"/>
  <c r="BM294" i="1" s="1"/>
  <c r="G95" i="12"/>
  <c r="C1223" i="7" s="1"/>
  <c r="F95" i="12"/>
  <c r="G556" i="2"/>
  <c r="B16" i="14"/>
  <c r="BI55" i="1" l="1"/>
  <c r="J93" i="15"/>
  <c r="F280" i="15"/>
  <c r="BB60" i="13"/>
  <c r="BB61" i="13"/>
  <c r="BC60" i="13"/>
  <c r="BC61" i="13"/>
  <c r="BX42" i="13"/>
  <c r="BY37" i="13"/>
  <c r="BX98" i="13"/>
  <c r="BX122" i="13"/>
  <c r="BX127" i="13" s="1"/>
  <c r="BX95" i="13"/>
  <c r="Q69" i="13"/>
  <c r="E281" i="15" s="1"/>
  <c r="BB12" i="13"/>
  <c r="BB10" i="13"/>
  <c r="R5" i="13"/>
  <c r="BC4" i="13"/>
  <c r="J194" i="15" s="1"/>
  <c r="BJ298" i="1"/>
  <c r="Q100" i="13"/>
  <c r="Q5" i="13"/>
  <c r="R73" i="13"/>
  <c r="BC73" i="13" s="1"/>
  <c r="J90" i="15"/>
  <c r="Q73" i="13"/>
  <c r="BB73" i="13" s="1"/>
  <c r="I90" i="15"/>
  <c r="BG42" i="1"/>
  <c r="BG46" i="1"/>
  <c r="BG47" i="1" s="1"/>
  <c r="BG50" i="1" s="1"/>
  <c r="BG51" i="1" s="1"/>
  <c r="BH42" i="1"/>
  <c r="BI235" i="1"/>
  <c r="BI292" i="1" s="1"/>
  <c r="BI297" i="1" s="1"/>
  <c r="BJ297" i="1"/>
  <c r="BI42" i="1"/>
  <c r="R111" i="13"/>
  <c r="G141" i="12"/>
  <c r="G37" i="12" s="1"/>
  <c r="G47" i="12" s="1"/>
  <c r="BH45" i="1"/>
  <c r="BH46" i="1"/>
  <c r="BH47" i="1" s="1"/>
  <c r="BI46" i="1"/>
  <c r="BI47" i="1" s="1"/>
  <c r="BI45" i="1"/>
  <c r="BJ255" i="1"/>
  <c r="R117" i="13"/>
  <c r="F304" i="15" s="1"/>
  <c r="Q118" i="13"/>
  <c r="E305" i="15" s="1"/>
  <c r="BJ245" i="1"/>
  <c r="BJ301" i="1" s="1"/>
  <c r="BJ302" i="1" s="1"/>
  <c r="BJ303" i="1" s="1"/>
  <c r="Q68" i="13"/>
  <c r="R86" i="13"/>
  <c r="BI298" i="1"/>
  <c r="Q106" i="13"/>
  <c r="Q107" i="13" s="1"/>
  <c r="R67" i="13"/>
  <c r="R64" i="13"/>
  <c r="Q67" i="13"/>
  <c r="Q64" i="13"/>
  <c r="I88" i="15" l="1"/>
  <c r="E279" i="15"/>
  <c r="I93" i="15"/>
  <c r="E280" i="15"/>
  <c r="J88" i="15"/>
  <c r="F279" i="15"/>
  <c r="BX124" i="13"/>
  <c r="BB64" i="13"/>
  <c r="BX158" i="13"/>
  <c r="U139" i="13"/>
  <c r="I328" i="15" s="1"/>
  <c r="C1214" i="7"/>
  <c r="U140" i="13"/>
  <c r="T140" i="13"/>
  <c r="T139" i="13"/>
  <c r="H328" i="15" s="1"/>
  <c r="BI245" i="1"/>
  <c r="BI301" i="1" s="1"/>
  <c r="BI302" i="1" s="1"/>
  <c r="BI303" i="1" s="1"/>
  <c r="BI255" i="1"/>
  <c r="BN293" i="1"/>
  <c r="BI50" i="1"/>
  <c r="BI51" i="1" s="1"/>
  <c r="BI56" i="1" s="1"/>
  <c r="BH50" i="1"/>
  <c r="BH51" i="1" s="1"/>
  <c r="R70" i="13"/>
  <c r="F282" i="15" s="1"/>
  <c r="Q70" i="13"/>
  <c r="E282" i="15" s="1"/>
  <c r="C1057" i="7"/>
  <c r="BN294" i="1" l="1"/>
  <c r="C1215" i="7"/>
  <c r="BN292" i="1"/>
  <c r="BI64" i="1"/>
  <c r="D1050" i="7"/>
  <c r="P13" i="13"/>
  <c r="BA13" i="13" s="1"/>
  <c r="P158" i="13"/>
  <c r="O157" i="13"/>
  <c r="G74" i="12" s="1"/>
  <c r="O153" i="13"/>
  <c r="O146" i="13"/>
  <c r="P49" i="13"/>
  <c r="P50" i="13" s="1"/>
  <c r="P54" i="13" s="1"/>
  <c r="P546" i="2" s="1"/>
  <c r="O49" i="13"/>
  <c r="P141" i="13"/>
  <c r="P137" i="13"/>
  <c r="P108" i="13"/>
  <c r="P104" i="13"/>
  <c r="P111" i="13"/>
  <c r="P18" i="13"/>
  <c r="BA18" i="13" s="1"/>
  <c r="H21" i="15" l="1"/>
  <c r="G7" i="12"/>
  <c r="G34" i="12" s="1"/>
  <c r="V118" i="13"/>
  <c r="J305" i="15" s="1"/>
  <c r="P105" i="13"/>
  <c r="P106" i="13" s="1"/>
  <c r="P107" i="13" s="1"/>
  <c r="P6" i="13"/>
  <c r="D1057" i="7"/>
  <c r="E1050" i="7"/>
  <c r="O158" i="13"/>
  <c r="P119" i="13"/>
  <c r="D306" i="15" s="1"/>
  <c r="BA6" i="13" l="1"/>
  <c r="V119" i="13"/>
  <c r="J306" i="15" s="1"/>
  <c r="V62" i="13"/>
  <c r="H13" i="15" s="1"/>
  <c r="P117" i="13"/>
  <c r="D304" i="15" s="1"/>
  <c r="G120" i="12"/>
  <c r="E1057" i="7"/>
  <c r="F1050" i="7"/>
  <c r="BN296" i="1" l="1"/>
  <c r="BN302" i="1" s="1"/>
  <c r="BN303" i="1" s="1"/>
  <c r="BC62" i="13"/>
  <c r="H162" i="12"/>
  <c r="H163" i="12" s="1"/>
  <c r="V68" i="13"/>
  <c r="J280" i="15" s="1"/>
  <c r="V64" i="13"/>
  <c r="F1057" i="7"/>
  <c r="G1050" i="7"/>
  <c r="G1057" i="7" s="1"/>
  <c r="H11" i="15" l="1"/>
  <c r="X140" i="13"/>
  <c r="X139" i="13"/>
  <c r="L328" i="15" s="1"/>
  <c r="BN295" i="1"/>
  <c r="BN297" i="1"/>
  <c r="BN298" i="1"/>
  <c r="H213" i="12" s="1"/>
  <c r="W139" i="13"/>
  <c r="K328" i="15" s="1"/>
  <c r="W140" i="13"/>
  <c r="BC64" i="13"/>
  <c r="V139" i="13"/>
  <c r="V140" i="13"/>
  <c r="V70" i="13"/>
  <c r="J282" i="15" s="1"/>
  <c r="BH280" i="1"/>
  <c r="BH279" i="1"/>
  <c r="BH276" i="1"/>
  <c r="P62" i="13"/>
  <c r="P58" i="13"/>
  <c r="P57" i="13"/>
  <c r="P56" i="13"/>
  <c r="P66" i="13" s="1"/>
  <c r="P97" i="13" s="1"/>
  <c r="BH286" i="1"/>
  <c r="BH269" i="1"/>
  <c r="BH249" i="1"/>
  <c r="BH233" i="1"/>
  <c r="P41" i="13"/>
  <c r="P63" i="13" s="1"/>
  <c r="P94" i="13" s="1"/>
  <c r="P36" i="13"/>
  <c r="P59" i="13" s="1"/>
  <c r="AW3" i="13"/>
  <c r="D138" i="15" s="1"/>
  <c r="AW2" i="13"/>
  <c r="D193" i="15" s="1"/>
  <c r="BH16" i="1"/>
  <c r="DW16" i="1" s="1"/>
  <c r="BH12" i="1"/>
  <c r="BH11" i="1"/>
  <c r="BH6" i="1"/>
  <c r="BH5" i="1"/>
  <c r="P17" i="13"/>
  <c r="BA17" i="13" s="1"/>
  <c r="P8" i="13"/>
  <c r="BA8" i="13" s="1"/>
  <c r="BH123" i="1"/>
  <c r="BH132" i="1" s="1"/>
  <c r="P177" i="13"/>
  <c r="P33" i="13"/>
  <c r="P46" i="13" s="1"/>
  <c r="H24" i="15" l="1"/>
  <c r="J328" i="15"/>
  <c r="AW169" i="13"/>
  <c r="D137" i="15"/>
  <c r="T31" i="13"/>
  <c r="BE31" i="13" s="1"/>
  <c r="BH291" i="1"/>
  <c r="D27" i="15" s="1"/>
  <c r="BH278" i="1"/>
  <c r="BA62" i="13"/>
  <c r="BL251" i="1"/>
  <c r="BL253" i="1" s="1"/>
  <c r="P4" i="13"/>
  <c r="BH22" i="1"/>
  <c r="BI10" i="1"/>
  <c r="BI32" i="1"/>
  <c r="BI250" i="1"/>
  <c r="BI254" i="1"/>
  <c r="P60" i="13"/>
  <c r="Q19" i="13"/>
  <c r="BH293" i="1"/>
  <c r="BL294" i="1" s="1"/>
  <c r="BH20" i="1"/>
  <c r="P12" i="13"/>
  <c r="P118" i="13"/>
  <c r="D305" i="15" s="1"/>
  <c r="BH256" i="1"/>
  <c r="P88" i="13"/>
  <c r="P76" i="13" s="1"/>
  <c r="P103" i="13" s="1"/>
  <c r="BH296" i="1"/>
  <c r="BL295" i="1" s="1"/>
  <c r="P10" i="13"/>
  <c r="BA10" i="13" s="1"/>
  <c r="O50" i="13"/>
  <c r="O119" i="13"/>
  <c r="C306" i="15" s="1"/>
  <c r="O117" i="13"/>
  <c r="C304" i="15" s="1"/>
  <c r="O111" i="13"/>
  <c r="O108" i="13"/>
  <c r="O104" i="13"/>
  <c r="O141" i="13"/>
  <c r="O137" i="13"/>
  <c r="K137" i="13"/>
  <c r="BG280" i="1"/>
  <c r="BG279" i="1"/>
  <c r="BG276" i="1"/>
  <c r="BG269" i="1"/>
  <c r="BG249" i="1"/>
  <c r="BK251" i="1" s="1"/>
  <c r="BK253" i="1" s="1"/>
  <c r="BG286" i="1"/>
  <c r="BG233" i="1"/>
  <c r="BG278" i="1" s="1"/>
  <c r="O70" i="13"/>
  <c r="C282" i="15" s="1"/>
  <c r="O62" i="13"/>
  <c r="O58" i="13"/>
  <c r="O57" i="13"/>
  <c r="O56" i="13"/>
  <c r="O88" i="13" s="1"/>
  <c r="O76" i="13" s="1"/>
  <c r="O103" i="13" s="1"/>
  <c r="K42" i="13"/>
  <c r="O36" i="13"/>
  <c r="O59" i="13" s="1"/>
  <c r="O41" i="13"/>
  <c r="O63" i="13" s="1"/>
  <c r="O94" i="13" s="1"/>
  <c r="O33" i="13"/>
  <c r="O46" i="13" s="1"/>
  <c r="O18" i="13"/>
  <c r="AZ18" i="13" s="1"/>
  <c r="BG123" i="1"/>
  <c r="BG132" i="1" s="1"/>
  <c r="BG16" i="1"/>
  <c r="DV16" i="1" s="1"/>
  <c r="BG12" i="1"/>
  <c r="BG11" i="1"/>
  <c r="BG6" i="1"/>
  <c r="BG5" i="1"/>
  <c r="O17" i="13"/>
  <c r="AZ17" i="13" s="1"/>
  <c r="O8" i="13"/>
  <c r="S31" i="13" s="1"/>
  <c r="O177" i="13"/>
  <c r="AZ177" i="13" s="1"/>
  <c r="AV3" i="13"/>
  <c r="C138" i="15" s="1"/>
  <c r="AV2" i="13"/>
  <c r="C193" i="15" s="1"/>
  <c r="AV169" i="13" l="1"/>
  <c r="C137" i="15"/>
  <c r="BY31" i="13"/>
  <c r="BD31" i="13"/>
  <c r="P100" i="13"/>
  <c r="BA12" i="13"/>
  <c r="Q31" i="13"/>
  <c r="BB31" i="13" s="1"/>
  <c r="BB19" i="13"/>
  <c r="BL257" i="1"/>
  <c r="H90" i="15"/>
  <c r="BA60" i="13"/>
  <c r="P73" i="13"/>
  <c r="P5" i="13"/>
  <c r="BA4" i="13"/>
  <c r="H194" i="15" s="1"/>
  <c r="H17" i="15"/>
  <c r="G162" i="12"/>
  <c r="AZ62" i="13"/>
  <c r="BH235" i="1"/>
  <c r="BH255" i="1" s="1"/>
  <c r="BG256" i="1"/>
  <c r="BK257" i="1" s="1"/>
  <c r="O4" i="13"/>
  <c r="O5" i="13" s="1"/>
  <c r="P19" i="13"/>
  <c r="BH10" i="1"/>
  <c r="BH32" i="1"/>
  <c r="O10" i="13"/>
  <c r="BG22" i="1"/>
  <c r="BH55" i="1"/>
  <c r="BH56" i="1" s="1"/>
  <c r="BH37" i="1"/>
  <c r="BH298" i="1"/>
  <c r="O105" i="13"/>
  <c r="O106" i="13" s="1"/>
  <c r="O107" i="13" s="1"/>
  <c r="O54" i="13"/>
  <c r="P545" i="2" s="1"/>
  <c r="G132" i="12"/>
  <c r="G133" i="12" s="1"/>
  <c r="Q20" i="13"/>
  <c r="P69" i="13"/>
  <c r="D281" i="15" s="1"/>
  <c r="O60" i="13"/>
  <c r="BG293" i="1"/>
  <c r="BK294" i="1" s="1"/>
  <c r="BH250" i="1"/>
  <c r="BH254" i="1"/>
  <c r="P67" i="13"/>
  <c r="P64" i="13"/>
  <c r="P68" i="13"/>
  <c r="BG20" i="1"/>
  <c r="BG291" i="1"/>
  <c r="C27" i="15" s="1"/>
  <c r="O118" i="13"/>
  <c r="C305" i="15" s="1"/>
  <c r="O12" i="13"/>
  <c r="BG296" i="1"/>
  <c r="O66" i="13"/>
  <c r="O97" i="13" s="1"/>
  <c r="D545" i="2"/>
  <c r="H88" i="15" l="1"/>
  <c r="D279" i="15"/>
  <c r="H93" i="15"/>
  <c r="D280" i="15"/>
  <c r="O68" i="13"/>
  <c r="AZ10" i="13"/>
  <c r="O100" i="13"/>
  <c r="AZ12" i="13"/>
  <c r="BB20" i="13"/>
  <c r="BA19" i="13"/>
  <c r="L70" i="15" s="1"/>
  <c r="P31" i="13"/>
  <c r="BA31" i="13" s="1"/>
  <c r="H16" i="15"/>
  <c r="BA73" i="13"/>
  <c r="O73" i="13"/>
  <c r="G90" i="15"/>
  <c r="H15" i="15"/>
  <c r="BA64" i="13"/>
  <c r="P20" i="13"/>
  <c r="BA20" i="13" s="1"/>
  <c r="BH292" i="1"/>
  <c r="BH297" i="1" s="1"/>
  <c r="BH245" i="1"/>
  <c r="BH301" i="1" s="1"/>
  <c r="BH302" i="1" s="1"/>
  <c r="BH303" i="1" s="1"/>
  <c r="BG298" i="1"/>
  <c r="G213" i="12" s="1"/>
  <c r="G200" i="12" s="1"/>
  <c r="BK295" i="1"/>
  <c r="R139" i="13"/>
  <c r="F328" i="15" s="1"/>
  <c r="S140" i="13"/>
  <c r="S139" i="13"/>
  <c r="G328" i="15" s="1"/>
  <c r="O67" i="13"/>
  <c r="AZ60" i="13"/>
  <c r="G117" i="12"/>
  <c r="AZ4" i="13"/>
  <c r="G194" i="15" s="1"/>
  <c r="G157" i="12"/>
  <c r="Q86" i="13"/>
  <c r="BH64" i="1"/>
  <c r="BG37" i="1"/>
  <c r="BG55" i="1"/>
  <c r="BG56" i="1" s="1"/>
  <c r="BG235" i="1"/>
  <c r="BG245" i="1" s="1"/>
  <c r="BG301" i="1" s="1"/>
  <c r="BG302" i="1" s="1"/>
  <c r="BG303" i="1" s="1"/>
  <c r="G38" i="12"/>
  <c r="G48" i="12" s="1"/>
  <c r="R105" i="13"/>
  <c r="R118" i="13"/>
  <c r="F305" i="15" s="1"/>
  <c r="R140" i="13"/>
  <c r="G134" i="12"/>
  <c r="P70" i="13"/>
  <c r="D282" i="15" s="1"/>
  <c r="O69" i="13"/>
  <c r="C281" i="15" s="1"/>
  <c r="F588" i="7"/>
  <c r="F587" i="7"/>
  <c r="G163" i="12" l="1"/>
  <c r="G153" i="12"/>
  <c r="G93" i="15"/>
  <c r="C280" i="15"/>
  <c r="G88" i="15"/>
  <c r="C279" i="15"/>
  <c r="G119" i="12"/>
  <c r="H118" i="12"/>
  <c r="L63" i="15"/>
  <c r="AZ73" i="13"/>
  <c r="P86" i="13"/>
  <c r="G179" i="12"/>
  <c r="R106" i="13"/>
  <c r="R107" i="13" s="1"/>
  <c r="BG255" i="1"/>
  <c r="BG64" i="1"/>
  <c r="BG292" i="1"/>
  <c r="BG297" i="1" s="1"/>
  <c r="G39" i="12"/>
  <c r="G63" i="12" s="1"/>
  <c r="G171" i="12"/>
  <c r="G172" i="12" s="1"/>
  <c r="G49" i="12"/>
  <c r="C1078" i="7"/>
  <c r="G54" i="12" l="1"/>
  <c r="G59" i="12" s="1"/>
  <c r="G44" i="12"/>
  <c r="F1075" i="7"/>
  <c r="G1075" i="7"/>
  <c r="E1075" i="7"/>
  <c r="D1075" i="7"/>
  <c r="C1075" i="7"/>
  <c r="D1071" i="7"/>
  <c r="D1078" i="7" s="1"/>
  <c r="J62" i="12"/>
  <c r="L62" i="12" s="1"/>
  <c r="L592" i="7"/>
  <c r="L593" i="7" s="1"/>
  <c r="J592" i="7"/>
  <c r="J593" i="7" s="1"/>
  <c r="E1071" i="7" l="1"/>
  <c r="N62" i="12"/>
  <c r="O62" i="12" s="1"/>
  <c r="P62" i="12" s="1"/>
  <c r="F1071" i="7" l="1"/>
  <c r="E1078" i="7"/>
  <c r="G1071" i="7" l="1"/>
  <c r="G1078" i="7" s="1"/>
  <c r="F1078" i="7"/>
  <c r="M589" i="7" l="1"/>
  <c r="N589" i="7" s="1"/>
  <c r="K587" i="7"/>
  <c r="M587" i="7" s="1"/>
  <c r="N587" i="7" s="1"/>
  <c r="K586" i="7"/>
  <c r="M586" i="7" s="1"/>
  <c r="N586" i="7" s="1"/>
  <c r="O592" i="7"/>
  <c r="M590" i="7"/>
  <c r="N590" i="7" s="1"/>
  <c r="BF54" i="1"/>
  <c r="BF36" i="1"/>
  <c r="BF39" i="1" s="1"/>
  <c r="BF49" i="1" s="1"/>
  <c r="O593" i="7" l="1"/>
  <c r="BF44" i="1"/>
  <c r="BF40" i="1"/>
  <c r="BF41" i="1"/>
  <c r="F247" i="12"/>
  <c r="F246" i="12"/>
  <c r="F239" i="12"/>
  <c r="F225" i="12"/>
  <c r="E225" i="12"/>
  <c r="F233" i="12"/>
  <c r="F220" i="12"/>
  <c r="G249" i="12" l="1"/>
  <c r="BF42" i="1"/>
  <c r="BF46" i="1"/>
  <c r="BF47" i="1" s="1"/>
  <c r="BF45" i="1"/>
  <c r="BF50" i="1" l="1"/>
  <c r="BF51" i="1" s="1"/>
  <c r="N52" i="13" l="1"/>
  <c r="N13" i="13"/>
  <c r="N43" i="13" s="1"/>
  <c r="N544" i="2"/>
  <c r="F74" i="12"/>
  <c r="F70" i="12"/>
  <c r="N158" i="13"/>
  <c r="F105" i="12"/>
  <c r="F195" i="12"/>
  <c r="F192" i="12"/>
  <c r="F19" i="12"/>
  <c r="F115" i="12" l="1"/>
  <c r="F116" i="12" l="1"/>
  <c r="G116" i="12"/>
  <c r="N137" i="13"/>
  <c r="BF276" i="1"/>
  <c r="BF269" i="1"/>
  <c r="BF249" i="1"/>
  <c r="BJ251" i="1" s="1"/>
  <c r="BF233" i="1"/>
  <c r="BF278" i="1" s="1"/>
  <c r="BF286" i="1"/>
  <c r="BF280" i="1"/>
  <c r="BF279" i="1"/>
  <c r="N104" i="13"/>
  <c r="N58" i="13"/>
  <c r="N57" i="13"/>
  <c r="N62" i="13"/>
  <c r="N50" i="13"/>
  <c r="N54" i="13" s="1"/>
  <c r="N41" i="13"/>
  <c r="N63" i="13" s="1"/>
  <c r="N36" i="13"/>
  <c r="N59" i="13" s="1"/>
  <c r="N33" i="13"/>
  <c r="AU2" i="13"/>
  <c r="AU169" i="13" s="1"/>
  <c r="N18" i="13"/>
  <c r="N17" i="13"/>
  <c r="N8" i="13"/>
  <c r="N56" i="13"/>
  <c r="N88" i="13" s="1"/>
  <c r="N76" i="13" s="1"/>
  <c r="N103" i="13" s="1"/>
  <c r="N116" i="13" s="1"/>
  <c r="N177" i="13"/>
  <c r="BF123" i="1"/>
  <c r="BF132" i="1" s="1"/>
  <c r="DQ3" i="1"/>
  <c r="DP3" i="1"/>
  <c r="DO3" i="1"/>
  <c r="DN3" i="1"/>
  <c r="DM3" i="1"/>
  <c r="DL3" i="1"/>
  <c r="DQ15" i="1"/>
  <c r="BF16" i="1"/>
  <c r="BF12" i="1"/>
  <c r="BF11" i="1"/>
  <c r="BF6" i="1"/>
  <c r="BF5" i="1"/>
  <c r="N6" i="13"/>
  <c r="BF22" i="1" l="1"/>
  <c r="BF37" i="1" s="1"/>
  <c r="DU16" i="1"/>
  <c r="N10" i="13"/>
  <c r="N68" i="13" s="1"/>
  <c r="F93" i="15" s="1"/>
  <c r="R31" i="13"/>
  <c r="BC31" i="13" s="1"/>
  <c r="AY62" i="13"/>
  <c r="N4" i="13"/>
  <c r="AY4" i="13" s="1"/>
  <c r="F194" i="15" s="1"/>
  <c r="AY177" i="13"/>
  <c r="AY18" i="13"/>
  <c r="BG10" i="1"/>
  <c r="BG32" i="1"/>
  <c r="AY17" i="13"/>
  <c r="O19" i="13"/>
  <c r="N117" i="13"/>
  <c r="AY6" i="13"/>
  <c r="BG250" i="1"/>
  <c r="BG254" i="1"/>
  <c r="BF296" i="1"/>
  <c r="BF256" i="1"/>
  <c r="BJ257" i="1" s="1"/>
  <c r="BF291" i="1"/>
  <c r="BF293" i="1"/>
  <c r="BF20" i="1"/>
  <c r="N94" i="13"/>
  <c r="N12" i="13"/>
  <c r="N69" i="13" s="1"/>
  <c r="N60" i="13"/>
  <c r="F90" i="15" s="1"/>
  <c r="N66" i="13"/>
  <c r="N97" i="13" s="1"/>
  <c r="N121" i="13"/>
  <c r="BF55" i="1" l="1"/>
  <c r="BF235" i="1"/>
  <c r="BF292" i="1" s="1"/>
  <c r="BF297" i="1" s="1"/>
  <c r="BJ294" i="1"/>
  <c r="F28" i="15" s="1"/>
  <c r="AZ19" i="13"/>
  <c r="K63" i="15" s="1"/>
  <c r="O31" i="13"/>
  <c r="AZ31" i="13" s="1"/>
  <c r="N73" i="13"/>
  <c r="AY60" i="13"/>
  <c r="N5" i="13"/>
  <c r="O20" i="13"/>
  <c r="AZ20" i="13" s="1"/>
  <c r="BF298" i="1"/>
  <c r="BJ295" i="1"/>
  <c r="N64" i="13"/>
  <c r="BF56" i="1"/>
  <c r="N100" i="13"/>
  <c r="N67" i="13"/>
  <c r="F88" i="15" s="1"/>
  <c r="K70" i="15" l="1"/>
  <c r="BF255" i="1"/>
  <c r="BF245" i="1"/>
  <c r="BF301" i="1" s="1"/>
  <c r="BF302" i="1" s="1"/>
  <c r="BF303" i="1" s="1"/>
  <c r="AY73" i="13"/>
  <c r="AY64" i="13"/>
  <c r="O86" i="13"/>
  <c r="Q140" i="13"/>
  <c r="Q139" i="13"/>
  <c r="E328" i="15" s="1"/>
  <c r="N70" i="13"/>
  <c r="BF64" i="1"/>
  <c r="L158" i="13"/>
  <c r="M158" i="13"/>
  <c r="K146" i="13"/>
  <c r="BE124" i="1" l="1"/>
  <c r="BD124" i="1"/>
  <c r="BC124" i="1"/>
  <c r="BE123" i="1"/>
  <c r="BE132" i="1" s="1"/>
  <c r="BD123" i="1"/>
  <c r="BD132" i="1" s="1"/>
  <c r="BC123" i="1"/>
  <c r="BC132" i="1" s="1"/>
  <c r="M18" i="13" l="1"/>
  <c r="L18" i="13"/>
  <c r="K18" i="13"/>
  <c r="J18" i="13"/>
  <c r="AU18" i="13" s="1"/>
  <c r="I18" i="13"/>
  <c r="M17" i="13"/>
  <c r="L17" i="13"/>
  <c r="K17" i="13"/>
  <c r="J17" i="13"/>
  <c r="AU17" i="13" s="1"/>
  <c r="I17" i="13"/>
  <c r="G18" i="13"/>
  <c r="G17" i="13"/>
  <c r="H18" i="13"/>
  <c r="DP15" i="1"/>
  <c r="DO15" i="1"/>
  <c r="DN15" i="1"/>
  <c r="DM15" i="1"/>
  <c r="BE54" i="1"/>
  <c r="BD54" i="1"/>
  <c r="BC54" i="1"/>
  <c r="BE36" i="1"/>
  <c r="BE39" i="1" s="1"/>
  <c r="BD36" i="1"/>
  <c r="BC36" i="1"/>
  <c r="BC39" i="1" s="1"/>
  <c r="BE16" i="1"/>
  <c r="BD16" i="1"/>
  <c r="BC16" i="1"/>
  <c r="BE5" i="1"/>
  <c r="BD5" i="1"/>
  <c r="BC5" i="1"/>
  <c r="BE12" i="1"/>
  <c r="BD12" i="1"/>
  <c r="BC12" i="1"/>
  <c r="BE11" i="1"/>
  <c r="BD11" i="1"/>
  <c r="BC11" i="1"/>
  <c r="BE6" i="1"/>
  <c r="BF32" i="1" s="1"/>
  <c r="BD6" i="1"/>
  <c r="AR17" i="13" l="1"/>
  <c r="AV17" i="13"/>
  <c r="AW17" i="13"/>
  <c r="AX17" i="13"/>
  <c r="AT17" i="13"/>
  <c r="AR18" i="13"/>
  <c r="AV18" i="13"/>
  <c r="BC22" i="1"/>
  <c r="BC55" i="1" s="1"/>
  <c r="DR16" i="1"/>
  <c r="AS18" i="13"/>
  <c r="AW18" i="13"/>
  <c r="BE22" i="1"/>
  <c r="BE55" i="1" s="1"/>
  <c r="DT16" i="1"/>
  <c r="BD22" i="1"/>
  <c r="BD55" i="1" s="1"/>
  <c r="DS16" i="1"/>
  <c r="AX18" i="13"/>
  <c r="AT18" i="13"/>
  <c r="BE32" i="1"/>
  <c r="BE10" i="1"/>
  <c r="BF10" i="1"/>
  <c r="J19" i="13"/>
  <c r="N19" i="13"/>
  <c r="N31" i="13" s="1"/>
  <c r="AY31" i="13" s="1"/>
  <c r="BD39" i="1"/>
  <c r="BD40" i="1" s="1"/>
  <c r="G19" i="13"/>
  <c r="K19" i="13"/>
  <c r="L19" i="13"/>
  <c r="M19" i="13"/>
  <c r="BE41" i="1"/>
  <c r="BE40" i="1"/>
  <c r="BC49" i="1"/>
  <c r="BC40" i="1"/>
  <c r="BC41" i="1"/>
  <c r="BD20" i="1"/>
  <c r="BC20" i="1"/>
  <c r="BE20" i="1"/>
  <c r="BE44" i="1"/>
  <c r="BE49" i="1"/>
  <c r="BC44" i="1"/>
  <c r="P161" i="12"/>
  <c r="O161" i="12"/>
  <c r="N161" i="12"/>
  <c r="M161" i="12"/>
  <c r="L161" i="12"/>
  <c r="K161" i="12"/>
  <c r="J161" i="12"/>
  <c r="I161" i="12"/>
  <c r="H161" i="12"/>
  <c r="G161" i="12"/>
  <c r="P539" i="2"/>
  <c r="M539" i="2"/>
  <c r="Q539" i="2" s="1"/>
  <c r="R539" i="2" s="1"/>
  <c r="M542" i="2"/>
  <c r="Q542" i="2" s="1"/>
  <c r="M541" i="2"/>
  <c r="M543" i="2"/>
  <c r="Q543" i="2" s="1"/>
  <c r="L54" i="13"/>
  <c r="L52" i="13"/>
  <c r="F18" i="12" s="1"/>
  <c r="BE37" i="1" l="1"/>
  <c r="BC37" i="1"/>
  <c r="AR19" i="13"/>
  <c r="AV19" i="13"/>
  <c r="AX19" i="13"/>
  <c r="AW19" i="13"/>
  <c r="BD37" i="1"/>
  <c r="AY19" i="13"/>
  <c r="AU19" i="13"/>
  <c r="BD49" i="1"/>
  <c r="BD41" i="1"/>
  <c r="BD42" i="1" s="1"/>
  <c r="M544" i="2"/>
  <c r="N20" i="13"/>
  <c r="Q541" i="2"/>
  <c r="R541" i="2" s="1"/>
  <c r="R542" i="2" s="1"/>
  <c r="R543" i="2" s="1"/>
  <c r="M20" i="13"/>
  <c r="L20" i="13"/>
  <c r="BC42" i="1"/>
  <c r="BE42" i="1"/>
  <c r="BD44" i="1"/>
  <c r="K20" i="13"/>
  <c r="BE46" i="1"/>
  <c r="BE47" i="1" s="1"/>
  <c r="BE45" i="1"/>
  <c r="BC45" i="1"/>
  <c r="BC46" i="1"/>
  <c r="BC47" i="1" s="1"/>
  <c r="BE280" i="1"/>
  <c r="BE279" i="1"/>
  <c r="BE276" i="1"/>
  <c r="BE269" i="1"/>
  <c r="BE249" i="1"/>
  <c r="BE233" i="1"/>
  <c r="BE278" i="1" s="1"/>
  <c r="AT2" i="13"/>
  <c r="AT169" i="13" s="1"/>
  <c r="M137" i="13"/>
  <c r="M104" i="13"/>
  <c r="M62" i="13"/>
  <c r="M57" i="13"/>
  <c r="M13" i="13"/>
  <c r="M6" i="13"/>
  <c r="M58" i="13"/>
  <c r="L58" i="13"/>
  <c r="L57" i="13"/>
  <c r="M50" i="13"/>
  <c r="M54" i="13" s="1"/>
  <c r="M41" i="13"/>
  <c r="M63" i="13" s="1"/>
  <c r="M94" i="13" s="1"/>
  <c r="M36" i="13"/>
  <c r="M59" i="13" s="1"/>
  <c r="M8" i="13"/>
  <c r="M56" i="13"/>
  <c r="M66" i="13" s="1"/>
  <c r="M97" i="13" s="1"/>
  <c r="M177" i="13"/>
  <c r="BE286" i="1"/>
  <c r="M33" i="13"/>
  <c r="J70" i="15" l="1"/>
  <c r="J63" i="15"/>
  <c r="H70" i="15"/>
  <c r="H63" i="15"/>
  <c r="G70" i="15"/>
  <c r="G63" i="15"/>
  <c r="F70" i="15"/>
  <c r="F63" i="15"/>
  <c r="I70" i="15"/>
  <c r="I63" i="15"/>
  <c r="C63" i="15"/>
  <c r="C70" i="15"/>
  <c r="AX62" i="13"/>
  <c r="M4" i="13"/>
  <c r="AX4" i="13" s="1"/>
  <c r="E194" i="15" s="1"/>
  <c r="AX177" i="13"/>
  <c r="AV20" i="13"/>
  <c r="AY20" i="13"/>
  <c r="AX20" i="13"/>
  <c r="AW20" i="13"/>
  <c r="BI251" i="1"/>
  <c r="M117" i="13"/>
  <c r="AX6" i="13"/>
  <c r="M60" i="13"/>
  <c r="E90" i="15" s="1"/>
  <c r="N86" i="13"/>
  <c r="Q544" i="2"/>
  <c r="R544" i="2" s="1"/>
  <c r="O544" i="2"/>
  <c r="BF254" i="1"/>
  <c r="BF250" i="1"/>
  <c r="BE291" i="1"/>
  <c r="BD45" i="1"/>
  <c r="BD46" i="1"/>
  <c r="BD47" i="1" s="1"/>
  <c r="AT6" i="13"/>
  <c r="BE256" i="1"/>
  <c r="BI257" i="1" s="1"/>
  <c r="BE293" i="1"/>
  <c r="M12" i="13"/>
  <c r="M100" i="13" s="1"/>
  <c r="BC50" i="1"/>
  <c r="BE50" i="1"/>
  <c r="M10" i="13"/>
  <c r="M68" i="13" s="1"/>
  <c r="E93" i="15" s="1"/>
  <c r="M88" i="13"/>
  <c r="M76" i="13" s="1"/>
  <c r="M103" i="13" s="1"/>
  <c r="M116" i="13" s="1"/>
  <c r="M121" i="13" s="1"/>
  <c r="BE296" i="1"/>
  <c r="BI295" i="1" s="1"/>
  <c r="E543" i="2"/>
  <c r="F543" i="2" s="1"/>
  <c r="D1203" i="7" s="1"/>
  <c r="E541" i="2"/>
  <c r="E540" i="2"/>
  <c r="D1206" i="7" l="1"/>
  <c r="M73" i="13"/>
  <c r="M64" i="13"/>
  <c r="M70" i="13" s="1"/>
  <c r="M5" i="13"/>
  <c r="N548" i="2"/>
  <c r="H556" i="2"/>
  <c r="O548" i="2"/>
  <c r="H557" i="2"/>
  <c r="M67" i="13"/>
  <c r="E88" i="15" s="1"/>
  <c r="BI294" i="1"/>
  <c r="E28" i="15" s="1"/>
  <c r="M86" i="13"/>
  <c r="AX60" i="13"/>
  <c r="BE143" i="1"/>
  <c r="BD50" i="1"/>
  <c r="BD51" i="1" s="1"/>
  <c r="BD56" i="1" s="1"/>
  <c r="BE235" i="1"/>
  <c r="BE255" i="1" s="1"/>
  <c r="M69" i="13"/>
  <c r="BE51" i="1"/>
  <c r="BE56" i="1" s="1"/>
  <c r="BI57" i="1" s="1"/>
  <c r="BC51" i="1"/>
  <c r="BC56" i="1" s="1"/>
  <c r="BG57" i="1" s="1"/>
  <c r="BE298" i="1"/>
  <c r="G557" i="2"/>
  <c r="M548" i="2" l="1"/>
  <c r="D1208" i="7"/>
  <c r="D1209" i="7" s="1"/>
  <c r="C1218" i="7" s="1"/>
  <c r="AX73" i="13"/>
  <c r="P139" i="13"/>
  <c r="D328" i="15" s="1"/>
  <c r="AX64" i="13"/>
  <c r="BD64" i="1"/>
  <c r="BH57" i="1"/>
  <c r="H558" i="2"/>
  <c r="BE292" i="1"/>
  <c r="BE297" i="1" s="1"/>
  <c r="BE245" i="1"/>
  <c r="BE301" i="1" s="1"/>
  <c r="BE302" i="1" s="1"/>
  <c r="BE303" i="1" s="1"/>
  <c r="BC64" i="1"/>
  <c r="BE64" i="1"/>
  <c r="L50" i="13"/>
  <c r="K50" i="13"/>
  <c r="G176" i="12"/>
  <c r="K54" i="13" l="1"/>
  <c r="F132" i="12"/>
  <c r="F17" i="12"/>
  <c r="I448" i="2"/>
  <c r="J141" i="13"/>
  <c r="J144" i="13"/>
  <c r="G144" i="13"/>
  <c r="L137" i="13"/>
  <c r="J133" i="13"/>
  <c r="L104" i="13"/>
  <c r="K110" i="13"/>
  <c r="L113" i="13"/>
  <c r="L114" i="13" s="1"/>
  <c r="K108" i="13"/>
  <c r="G108" i="13"/>
  <c r="G261" i="12"/>
  <c r="H261" i="12" s="1"/>
  <c r="L83" i="13"/>
  <c r="J83" i="13"/>
  <c r="J84" i="13" s="1"/>
  <c r="M83" i="13" l="1"/>
  <c r="N83" i="13" s="1"/>
  <c r="K111" i="13"/>
  <c r="K105" i="13" s="1"/>
  <c r="F141" i="12"/>
  <c r="F37" i="12" s="1"/>
  <c r="L108" i="13"/>
  <c r="M113" i="13"/>
  <c r="L111" i="13"/>
  <c r="L105" i="13" s="1"/>
  <c r="L106" i="13" s="1"/>
  <c r="K104" i="13"/>
  <c r="N113" i="13" l="1"/>
  <c r="N114" i="13" s="1"/>
  <c r="M114" i="13"/>
  <c r="N84" i="13"/>
  <c r="F28" i="12" s="1"/>
  <c r="L107" i="13"/>
  <c r="K106" i="13"/>
  <c r="K107" i="13" s="1"/>
  <c r="M119" i="13"/>
  <c r="M108" i="13"/>
  <c r="M111" i="13"/>
  <c r="M105" i="13" s="1"/>
  <c r="H592" i="7"/>
  <c r="N108" i="13" l="1"/>
  <c r="N119" i="13"/>
  <c r="N111" i="13"/>
  <c r="N105" i="13" s="1"/>
  <c r="N106" i="13" s="1"/>
  <c r="M106" i="13"/>
  <c r="M107" i="13" s="1"/>
  <c r="M118" i="13"/>
  <c r="H593" i="7"/>
  <c r="BD280" i="1"/>
  <c r="BD279" i="1"/>
  <c r="BD276" i="1"/>
  <c r="BD269" i="1"/>
  <c r="BD286" i="1"/>
  <c r="BD249" i="1"/>
  <c r="BH251" i="1" s="1"/>
  <c r="BD233" i="1"/>
  <c r="F38" i="12" l="1"/>
  <c r="F39" i="12" s="1"/>
  <c r="N118" i="13"/>
  <c r="BD291" i="1"/>
  <c r="BD278" i="1"/>
  <c r="N107" i="13"/>
  <c r="BE250" i="1"/>
  <c r="BE254" i="1"/>
  <c r="BD293" i="1"/>
  <c r="BH294" i="1" s="1"/>
  <c r="D28" i="15" s="1"/>
  <c r="BD256" i="1"/>
  <c r="BH257" i="1" s="1"/>
  <c r="AS2" i="13" l="1"/>
  <c r="AS169" i="13" s="1"/>
  <c r="L37" i="13"/>
  <c r="L33" i="13"/>
  <c r="L8" i="13"/>
  <c r="L56" i="13"/>
  <c r="L66" i="13" s="1"/>
  <c r="L97" i="13" s="1"/>
  <c r="L177" i="13"/>
  <c r="L6" i="13"/>
  <c r="L13" i="13"/>
  <c r="L119" i="13" s="1"/>
  <c r="K13" i="13"/>
  <c r="AW37" i="13" l="1"/>
  <c r="AS37" i="13"/>
  <c r="L4" i="13"/>
  <c r="L5" i="13" s="1"/>
  <c r="AW177" i="13"/>
  <c r="L117" i="13"/>
  <c r="AW6" i="13"/>
  <c r="L36" i="13"/>
  <c r="L59" i="13" s="1"/>
  <c r="L60" i="13" s="1"/>
  <c r="D90" i="15" s="1"/>
  <c r="F131" i="12"/>
  <c r="F130" i="12" s="1"/>
  <c r="K119" i="13"/>
  <c r="F7" i="12"/>
  <c r="L62" i="13"/>
  <c r="AS6" i="13"/>
  <c r="L10" i="13"/>
  <c r="L118" i="13"/>
  <c r="L12" i="13"/>
  <c r="L41" i="13"/>
  <c r="L63" i="13" s="1"/>
  <c r="E544" i="2"/>
  <c r="E545" i="2" s="1"/>
  <c r="D552" i="2"/>
  <c r="E552" i="2" s="1"/>
  <c r="E551" i="2" s="1"/>
  <c r="C567" i="2"/>
  <c r="D561" i="2"/>
  <c r="L73" i="13" l="1"/>
  <c r="BD296" i="1"/>
  <c r="BH295" i="1" s="1"/>
  <c r="AW62" i="13"/>
  <c r="AW4" i="13"/>
  <c r="D194" i="15" s="1"/>
  <c r="F62" i="12"/>
  <c r="G8" i="12"/>
  <c r="L86" i="13"/>
  <c r="AW60" i="13"/>
  <c r="F133" i="12"/>
  <c r="F20" i="12"/>
  <c r="F161" i="12"/>
  <c r="E561" i="2"/>
  <c r="L64" i="13"/>
  <c r="L94" i="13"/>
  <c r="L67" i="13"/>
  <c r="D88" i="15" s="1"/>
  <c r="L69" i="13"/>
  <c r="BD235" i="1"/>
  <c r="L68" i="13"/>
  <c r="D93" i="15" s="1"/>
  <c r="F545" i="2"/>
  <c r="C1203" i="7" s="1"/>
  <c r="BC6" i="1"/>
  <c r="C1206" i="7" l="1"/>
  <c r="E1203" i="7"/>
  <c r="AW73" i="13"/>
  <c r="BD143" i="1"/>
  <c r="BD298" i="1"/>
  <c r="AW64" i="13"/>
  <c r="O139" i="13"/>
  <c r="C328" i="15" s="1"/>
  <c r="BD32" i="1"/>
  <c r="BD10" i="1"/>
  <c r="L70" i="13"/>
  <c r="L100" i="13"/>
  <c r="BD245" i="1"/>
  <c r="BD301" i="1" s="1"/>
  <c r="BD302" i="1" s="1"/>
  <c r="BD303" i="1" s="1"/>
  <c r="BD292" i="1"/>
  <c r="BD297" i="1" s="1"/>
  <c r="BD255" i="1"/>
  <c r="K616" i="2"/>
  <c r="G629" i="2"/>
  <c r="G624" i="2"/>
  <c r="C1208" i="7" l="1"/>
  <c r="C1209" i="7" s="1"/>
  <c r="E1206" i="7"/>
  <c r="K40" i="13"/>
  <c r="K6" i="13"/>
  <c r="BC280" i="1"/>
  <c r="BC279" i="1"/>
  <c r="BC276" i="1"/>
  <c r="BC269" i="1"/>
  <c r="BC249" i="1"/>
  <c r="BC286" i="1"/>
  <c r="K8" i="13"/>
  <c r="BC122" i="1"/>
  <c r="K33" i="13" s="1"/>
  <c r="K58" i="13"/>
  <c r="K57" i="13"/>
  <c r="K36" i="13"/>
  <c r="K59" i="13" s="1"/>
  <c r="K177" i="13"/>
  <c r="AV6" i="13" l="1"/>
  <c r="K62" i="13"/>
  <c r="BC296" i="1" s="1"/>
  <c r="AV40" i="13"/>
  <c r="AR40" i="13"/>
  <c r="K41" i="13"/>
  <c r="K4" i="13"/>
  <c r="AV4" i="13" s="1"/>
  <c r="C194" i="15" s="1"/>
  <c r="AV177" i="13"/>
  <c r="BG251" i="1"/>
  <c r="K60" i="13"/>
  <c r="C90" i="15" s="1"/>
  <c r="K117" i="13"/>
  <c r="F120" i="12"/>
  <c r="F134" i="12" s="1"/>
  <c r="F14" i="12"/>
  <c r="N141" i="13"/>
  <c r="K158" i="13"/>
  <c r="M141" i="13"/>
  <c r="L141" i="13"/>
  <c r="BC293" i="1"/>
  <c r="BG294" i="1" s="1"/>
  <c r="C28" i="15" s="1"/>
  <c r="BD250" i="1"/>
  <c r="BD254" i="1"/>
  <c r="K56" i="13"/>
  <c r="BC233" i="1"/>
  <c r="BC278" i="1" s="1"/>
  <c r="AR6" i="13"/>
  <c r="K141" i="13"/>
  <c r="K10" i="13"/>
  <c r="K118" i="13"/>
  <c r="BC256" i="1"/>
  <c r="BG257" i="1" s="1"/>
  <c r="K12" i="13"/>
  <c r="K73" i="13" l="1"/>
  <c r="F117" i="12"/>
  <c r="G118" i="12" s="1"/>
  <c r="K5" i="13"/>
  <c r="F162" i="12"/>
  <c r="AV62" i="13"/>
  <c r="K67" i="13"/>
  <c r="C88" i="15" s="1"/>
  <c r="AV60" i="13"/>
  <c r="K86" i="13"/>
  <c r="BC298" i="1"/>
  <c r="F213" i="12" s="1"/>
  <c r="BC235" i="1"/>
  <c r="BC245" i="1" s="1"/>
  <c r="BC301" i="1" s="1"/>
  <c r="BC302" i="1" s="1"/>
  <c r="BC303" i="1" s="1"/>
  <c r="F157" i="12"/>
  <c r="F153" i="12" s="1"/>
  <c r="BC143" i="1"/>
  <c r="BC291" i="1"/>
  <c r="K68" i="13"/>
  <c r="C93" i="15" s="1"/>
  <c r="D1064" i="7"/>
  <c r="F176" i="12"/>
  <c r="F163" i="12" l="1"/>
  <c r="AV73" i="13"/>
  <c r="F119" i="12"/>
  <c r="BC255" i="1"/>
  <c r="E1064" i="7"/>
  <c r="BC292" i="1"/>
  <c r="BC297" i="1" s="1"/>
  <c r="E549" i="2"/>
  <c r="E542" i="2"/>
  <c r="J542" i="2"/>
  <c r="P544" i="2" l="1"/>
  <c r="O545" i="2" s="1"/>
  <c r="E546" i="2"/>
  <c r="F1064" i="7"/>
  <c r="P543" i="2"/>
  <c r="P542" i="2"/>
  <c r="P541" i="2"/>
  <c r="F86" i="12" s="1"/>
  <c r="E562" i="2"/>
  <c r="E563" i="2" s="1"/>
  <c r="G558" i="2"/>
  <c r="G559" i="2" l="1"/>
  <c r="I558" i="2"/>
  <c r="I545" i="2" s="1"/>
  <c r="N545" i="2"/>
  <c r="O546" i="2"/>
  <c r="O547" i="2" s="1"/>
  <c r="G1064" i="7"/>
  <c r="AQ176" i="13"/>
  <c r="AP176" i="13"/>
  <c r="AO176" i="13"/>
  <c r="AN176" i="13"/>
  <c r="AQ175" i="13"/>
  <c r="AP175" i="13"/>
  <c r="AO175" i="13"/>
  <c r="AN175" i="13"/>
  <c r="AQ174" i="13"/>
  <c r="AP174" i="13"/>
  <c r="AO174" i="13"/>
  <c r="AN174" i="13"/>
  <c r="AQ173" i="13"/>
  <c r="AP173" i="13"/>
  <c r="AO173" i="13"/>
  <c r="AN173" i="13"/>
  <c r="AQ172" i="13"/>
  <c r="AP172" i="13"/>
  <c r="AO172" i="13"/>
  <c r="AN172" i="13"/>
  <c r="AQ171" i="13"/>
  <c r="AP171" i="13"/>
  <c r="AO171" i="13"/>
  <c r="AN171" i="13"/>
  <c r="AQ170" i="13"/>
  <c r="AP170" i="13"/>
  <c r="AO170" i="13"/>
  <c r="AN170" i="13"/>
  <c r="C177" i="13"/>
  <c r="D177" i="13"/>
  <c r="D4" i="13" s="1"/>
  <c r="E177" i="13"/>
  <c r="E4" i="13" s="1"/>
  <c r="F177" i="13"/>
  <c r="F4" i="13" s="1"/>
  <c r="C3" i="13"/>
  <c r="D3" i="13"/>
  <c r="E3" i="13"/>
  <c r="F3" i="13"/>
  <c r="G636" i="2"/>
  <c r="F629" i="2"/>
  <c r="F627" i="2"/>
  <c r="E5" i="13" l="1"/>
  <c r="N546" i="2"/>
  <c r="M545" i="2"/>
  <c r="Q545" i="2" s="1"/>
  <c r="R545" i="2" s="1"/>
  <c r="F5" i="13"/>
  <c r="C4" i="13"/>
  <c r="C5" i="13" s="1"/>
  <c r="D117" i="12"/>
  <c r="D5" i="13"/>
  <c r="E108" i="12"/>
  <c r="C62" i="10"/>
  <c r="C58" i="10"/>
  <c r="C59" i="10" s="1"/>
  <c r="D233" i="12"/>
  <c r="E232" i="12"/>
  <c r="E231" i="12"/>
  <c r="J231" i="12" s="1"/>
  <c r="K231" i="12" s="1"/>
  <c r="L231" i="12" s="1"/>
  <c r="M231" i="12" s="1"/>
  <c r="N231" i="12" s="1"/>
  <c r="O231" i="12" s="1"/>
  <c r="P231" i="12" s="1"/>
  <c r="D239" i="12"/>
  <c r="J237" i="12"/>
  <c r="K237" i="12" s="1"/>
  <c r="L237" i="12" s="1"/>
  <c r="M237" i="12" s="1"/>
  <c r="N237" i="12" s="1"/>
  <c r="O237" i="12" s="1"/>
  <c r="P237" i="12" s="1"/>
  <c r="E236" i="12"/>
  <c r="E239" i="12" s="1"/>
  <c r="D542" i="2"/>
  <c r="C27" i="10"/>
  <c r="C28" i="10" s="1"/>
  <c r="C33" i="10" s="1"/>
  <c r="E105" i="12"/>
  <c r="E893" i="2"/>
  <c r="G892" i="2"/>
  <c r="F263" i="12"/>
  <c r="F290" i="12"/>
  <c r="F291" i="12" s="1"/>
  <c r="G291" i="12" s="1"/>
  <c r="C31" i="10"/>
  <c r="C54" i="12"/>
  <c r="C59" i="12" s="1"/>
  <c r="C64" i="10" l="1"/>
  <c r="C67" i="10"/>
  <c r="C36" i="10"/>
  <c r="M546" i="2"/>
  <c r="N547" i="2"/>
  <c r="D546" i="2"/>
  <c r="D567" i="2" s="1"/>
  <c r="D569" i="2" s="1"/>
  <c r="F542" i="2"/>
  <c r="F546" i="2" s="1"/>
  <c r="E233" i="12"/>
  <c r="D562" i="2"/>
  <c r="E106" i="12"/>
  <c r="F50" i="6"/>
  <c r="G50" i="6" s="1"/>
  <c r="H50" i="6" s="1"/>
  <c r="I50" i="6" s="1"/>
  <c r="J50" i="6" s="1"/>
  <c r="K50" i="6" s="1"/>
  <c r="L50" i="6" s="1"/>
  <c r="M50" i="6" s="1"/>
  <c r="N50" i="6" s="1"/>
  <c r="O50" i="6" s="1"/>
  <c r="P50" i="6" s="1"/>
  <c r="Q50" i="6" s="1"/>
  <c r="R50" i="6" s="1"/>
  <c r="S50" i="6" s="1"/>
  <c r="T50" i="6" s="1"/>
  <c r="U50" i="6" s="1"/>
  <c r="A51" i="6"/>
  <c r="E218" i="12"/>
  <c r="E244" i="12"/>
  <c r="D216" i="12"/>
  <c r="D246" i="12"/>
  <c r="D244" i="12"/>
  <c r="J238" i="12"/>
  <c r="K238" i="12" s="1"/>
  <c r="L238" i="12" s="1"/>
  <c r="M238" i="12" s="1"/>
  <c r="N238" i="12" s="1"/>
  <c r="O238" i="12" s="1"/>
  <c r="P238" i="12" s="1"/>
  <c r="J233" i="12"/>
  <c r="K233" i="12" s="1"/>
  <c r="L233" i="12" s="1"/>
  <c r="M233" i="12" s="1"/>
  <c r="N233" i="12" s="1"/>
  <c r="O233" i="12" s="1"/>
  <c r="P233" i="12" s="1"/>
  <c r="D228" i="12"/>
  <c r="D225" i="12"/>
  <c r="D220" i="12"/>
  <c r="O22" i="6"/>
  <c r="O21" i="6"/>
  <c r="J134" i="13"/>
  <c r="I144" i="13"/>
  <c r="H144" i="13"/>
  <c r="G260" i="12"/>
  <c r="H260" i="12" s="1"/>
  <c r="I260" i="12" s="1"/>
  <c r="J260" i="12" s="1"/>
  <c r="K260" i="12" s="1"/>
  <c r="L260" i="12" s="1"/>
  <c r="M260" i="12" s="1"/>
  <c r="N260" i="12" s="1"/>
  <c r="O260" i="12" s="1"/>
  <c r="G263" i="12"/>
  <c r="O13" i="6"/>
  <c r="O4" i="6"/>
  <c r="E20" i="12"/>
  <c r="J58" i="13"/>
  <c r="J57" i="13"/>
  <c r="J54" i="13"/>
  <c r="J52" i="13"/>
  <c r="E162" i="12" s="1"/>
  <c r="E60" i="13"/>
  <c r="D60" i="13"/>
  <c r="C60" i="13"/>
  <c r="F60" i="13"/>
  <c r="AN6" i="13"/>
  <c r="AO6" i="13"/>
  <c r="AP6" i="13"/>
  <c r="G36" i="13"/>
  <c r="G59" i="13" s="1"/>
  <c r="H36" i="13"/>
  <c r="H59" i="13" s="1"/>
  <c r="I36" i="13"/>
  <c r="I59" i="13" s="1"/>
  <c r="E123" i="12"/>
  <c r="BB54" i="1"/>
  <c r="BB36" i="1"/>
  <c r="BB39" i="1" s="1"/>
  <c r="BB16" i="1"/>
  <c r="DQ16" i="1" s="1"/>
  <c r="BB12" i="1"/>
  <c r="BB11" i="1"/>
  <c r="BB6" i="1"/>
  <c r="BB5" i="1"/>
  <c r="D563" i="2" l="1"/>
  <c r="D572" i="2" s="1"/>
  <c r="F562" i="2"/>
  <c r="F1203" i="7" s="1"/>
  <c r="M547" i="2"/>
  <c r="Q546" i="2"/>
  <c r="R546" i="2" s="1"/>
  <c r="BB22" i="1"/>
  <c r="BB55" i="1" s="1"/>
  <c r="BC32" i="1"/>
  <c r="BC10" i="1"/>
  <c r="D571" i="2"/>
  <c r="D573" i="2" s="1"/>
  <c r="D575" i="2" s="1"/>
  <c r="BB49" i="1"/>
  <c r="BB41" i="1"/>
  <c r="BB40" i="1"/>
  <c r="E247" i="12"/>
  <c r="E584" i="2" s="1"/>
  <c r="E585" i="2" s="1"/>
  <c r="E246" i="12"/>
  <c r="E258" i="12"/>
  <c r="E220" i="12"/>
  <c r="D245" i="12"/>
  <c r="J232" i="12"/>
  <c r="D249" i="12"/>
  <c r="J53" i="13"/>
  <c r="BB44" i="1"/>
  <c r="G64" i="12"/>
  <c r="I148" i="13"/>
  <c r="H148" i="13"/>
  <c r="G148" i="13"/>
  <c r="J148" i="13"/>
  <c r="J77" i="12"/>
  <c r="K77" i="12" s="1"/>
  <c r="L77" i="12" s="1"/>
  <c r="M77" i="12" s="1"/>
  <c r="N77" i="12" s="1"/>
  <c r="O77" i="12" s="1"/>
  <c r="P77" i="12" s="1"/>
  <c r="K232" i="12" l="1"/>
  <c r="J105" i="12"/>
  <c r="F1206" i="7"/>
  <c r="G1203" i="7"/>
  <c r="P547" i="2"/>
  <c r="G86" i="12" s="1"/>
  <c r="Q547" i="2"/>
  <c r="R547" i="2" s="1"/>
  <c r="BB37" i="1"/>
  <c r="BB42" i="1"/>
  <c r="E64" i="12"/>
  <c r="I261" i="12"/>
  <c r="H263" i="12"/>
  <c r="P21" i="6"/>
  <c r="H64" i="12"/>
  <c r="E228" i="12"/>
  <c r="E245" i="12" s="1"/>
  <c r="E249" i="12"/>
  <c r="J149" i="13"/>
  <c r="BB46" i="1"/>
  <c r="BB47" i="1" s="1"/>
  <c r="BB45" i="1"/>
  <c r="G155" i="13"/>
  <c r="H155" i="13"/>
  <c r="I155" i="13"/>
  <c r="J155" i="13"/>
  <c r="E67" i="12"/>
  <c r="O48" i="6" s="1"/>
  <c r="G117" i="13"/>
  <c r="H117" i="13"/>
  <c r="I117" i="13"/>
  <c r="L232" i="12" l="1"/>
  <c r="K105" i="12"/>
  <c r="C1219" i="7"/>
  <c r="G1206" i="7"/>
  <c r="P548" i="2"/>
  <c r="J224" i="12"/>
  <c r="K224" i="12" s="1"/>
  <c r="L224" i="12" s="1"/>
  <c r="M224" i="12" s="1"/>
  <c r="N224" i="12" s="1"/>
  <c r="O224" i="12" s="1"/>
  <c r="P224" i="12" s="1"/>
  <c r="J156" i="13"/>
  <c r="J261" i="12"/>
  <c r="I263" i="12"/>
  <c r="E72" i="12"/>
  <c r="E78" i="12" s="1"/>
  <c r="E82" i="12" s="1"/>
  <c r="N32" i="6" s="1"/>
  <c r="J218" i="12"/>
  <c r="I64" i="12"/>
  <c r="J219" i="12"/>
  <c r="F249" i="12"/>
  <c r="H95" i="12"/>
  <c r="C1224" i="7" s="1"/>
  <c r="C1225" i="7" s="1"/>
  <c r="P4" i="6"/>
  <c r="T163" i="13" s="1"/>
  <c r="BB50" i="1"/>
  <c r="E7" i="12"/>
  <c r="D157" i="12"/>
  <c r="E120" i="12"/>
  <c r="E4" i="12" s="1"/>
  <c r="J6" i="13"/>
  <c r="G177" i="13"/>
  <c r="AR177" i="13" s="1"/>
  <c r="H177" i="13"/>
  <c r="AS177" i="13" s="1"/>
  <c r="J177" i="13"/>
  <c r="I177" i="13"/>
  <c r="AT177" i="13" s="1"/>
  <c r="J9" i="13"/>
  <c r="J8" i="13"/>
  <c r="DL123" i="1"/>
  <c r="DL122" i="1"/>
  <c r="F206" i="12"/>
  <c r="E206" i="12"/>
  <c r="D206" i="12"/>
  <c r="E141" i="12"/>
  <c r="J137" i="13"/>
  <c r="I137" i="13"/>
  <c r="H137" i="13"/>
  <c r="G137" i="13"/>
  <c r="D160" i="12"/>
  <c r="D12" i="12" s="1"/>
  <c r="D23" i="12" s="1"/>
  <c r="J111" i="13"/>
  <c r="I111" i="13"/>
  <c r="H111" i="13"/>
  <c r="G111" i="13"/>
  <c r="H113" i="13"/>
  <c r="J104" i="13"/>
  <c r="J106" i="13" s="1"/>
  <c r="I104" i="13"/>
  <c r="I106" i="13" s="1"/>
  <c r="H104" i="13"/>
  <c r="H106" i="13" s="1"/>
  <c r="G104" i="13"/>
  <c r="G106" i="13" s="1"/>
  <c r="G62" i="13"/>
  <c r="AR62" i="13" s="1"/>
  <c r="B62" i="13"/>
  <c r="B68" i="13" s="1"/>
  <c r="B99" i="13" s="1"/>
  <c r="E213" i="12"/>
  <c r="E200" i="12" s="1"/>
  <c r="BB280" i="1"/>
  <c r="BB279" i="1"/>
  <c r="BB276" i="1"/>
  <c r="BB269" i="1"/>
  <c r="BB247" i="1"/>
  <c r="BB249" i="1" s="1"/>
  <c r="BF251" i="1" s="1"/>
  <c r="BB143" i="1"/>
  <c r="BA143" i="1"/>
  <c r="BB132" i="1"/>
  <c r="BB20" i="1" s="1"/>
  <c r="C33" i="12"/>
  <c r="D24" i="12"/>
  <c r="C23" i="12"/>
  <c r="C32" i="12" s="1"/>
  <c r="C22" i="12"/>
  <c r="C31" i="12" s="1"/>
  <c r="D4" i="12"/>
  <c r="D25" i="12"/>
  <c r="D34" i="12" s="1"/>
  <c r="B101" i="13"/>
  <c r="B100" i="13"/>
  <c r="B98" i="13"/>
  <c r="G9" i="13"/>
  <c r="H9" i="13"/>
  <c r="I9" i="13"/>
  <c r="BB128" i="1"/>
  <c r="BB133" i="1" s="1"/>
  <c r="BB134" i="1" s="1"/>
  <c r="J14" i="13"/>
  <c r="J13" i="13" s="1"/>
  <c r="I13" i="13"/>
  <c r="I43" i="13" s="1"/>
  <c r="H13" i="13"/>
  <c r="H43" i="13" s="1"/>
  <c r="G13" i="13"/>
  <c r="I8" i="13"/>
  <c r="H8" i="13"/>
  <c r="H10" i="13" s="1"/>
  <c r="G8" i="13"/>
  <c r="J3" i="13"/>
  <c r="I3" i="13"/>
  <c r="H3" i="13"/>
  <c r="G3" i="13"/>
  <c r="G79" i="13"/>
  <c r="H79" i="13"/>
  <c r="H81" i="13" s="1"/>
  <c r="I79" i="13"/>
  <c r="I81" i="13" s="1"/>
  <c r="J37" i="13"/>
  <c r="J38" i="13" s="1"/>
  <c r="J79" i="13"/>
  <c r="B50" i="13"/>
  <c r="B60" i="13" s="1"/>
  <c r="B79" i="13" s="1"/>
  <c r="B91" i="13" s="1"/>
  <c r="I58" i="13"/>
  <c r="H58" i="13"/>
  <c r="G58" i="13"/>
  <c r="I57" i="13"/>
  <c r="H57" i="13"/>
  <c r="G57" i="13"/>
  <c r="BB286" i="1"/>
  <c r="BB140" i="1"/>
  <c r="BB152" i="1" s="1"/>
  <c r="BB145" i="1"/>
  <c r="BB150" i="1" s="1"/>
  <c r="BB105" i="1"/>
  <c r="BB106" i="1" s="1"/>
  <c r="BB124" i="1" s="1"/>
  <c r="BB109" i="1"/>
  <c r="BB122" i="1"/>
  <c r="BB233" i="1" s="1"/>
  <c r="D188" i="12"/>
  <c r="E188" i="12"/>
  <c r="E195" i="12"/>
  <c r="E192" i="12"/>
  <c r="D200" i="12"/>
  <c r="C201" i="12"/>
  <c r="C200" i="12"/>
  <c r="K204" i="12"/>
  <c r="L204" i="12" s="1"/>
  <c r="M204" i="12" s="1"/>
  <c r="N204" i="12" s="1"/>
  <c r="O204" i="12" s="1"/>
  <c r="P204" i="12" s="1"/>
  <c r="F205" i="12"/>
  <c r="E205" i="12"/>
  <c r="E176" i="12"/>
  <c r="D11" i="12"/>
  <c r="D22" i="12" s="1"/>
  <c r="M232" i="12" l="1"/>
  <c r="L105" i="12"/>
  <c r="G119" i="13"/>
  <c r="G43" i="13"/>
  <c r="AD137" i="13"/>
  <c r="AE137" i="13"/>
  <c r="BB291" i="1"/>
  <c r="BB278" i="1"/>
  <c r="C1230" i="7"/>
  <c r="C1220" i="7"/>
  <c r="C1226" i="7"/>
  <c r="C1229" i="7"/>
  <c r="F179" i="12"/>
  <c r="G207" i="12"/>
  <c r="H249" i="12"/>
  <c r="H108" i="13"/>
  <c r="H107" i="13" s="1"/>
  <c r="H114" i="13"/>
  <c r="AU6" i="13"/>
  <c r="J36" i="13"/>
  <c r="J59" i="13" s="1"/>
  <c r="J60" i="13" s="1"/>
  <c r="J73" i="13" s="1"/>
  <c r="AU73" i="13" s="1"/>
  <c r="AU37" i="13"/>
  <c r="AQ177" i="13"/>
  <c r="AU177" i="13"/>
  <c r="E156" i="12"/>
  <c r="E117" i="12"/>
  <c r="J20" i="13"/>
  <c r="AU20" i="13" s="1"/>
  <c r="AU3" i="13"/>
  <c r="AR3" i="13"/>
  <c r="G20" i="13"/>
  <c r="AR20" i="13" s="1"/>
  <c r="AP3" i="13"/>
  <c r="AT3" i="13"/>
  <c r="BB127" i="1"/>
  <c r="BB137" i="1" s="1"/>
  <c r="BB160" i="1" s="1"/>
  <c r="BB158" i="1"/>
  <c r="K81" i="13"/>
  <c r="K91" i="13"/>
  <c r="K98" i="13" s="1"/>
  <c r="J4" i="13"/>
  <c r="J5" i="13" s="1"/>
  <c r="AO3" i="13"/>
  <c r="AS3" i="13"/>
  <c r="BB293" i="1"/>
  <c r="BF294" i="1" s="1"/>
  <c r="BC254" i="1"/>
  <c r="BC250" i="1"/>
  <c r="BB256" i="1"/>
  <c r="BF257" i="1" s="1"/>
  <c r="BB235" i="1"/>
  <c r="BB245" i="1" s="1"/>
  <c r="BB301" i="1" s="1"/>
  <c r="C516" i="2"/>
  <c r="AN3" i="13"/>
  <c r="H4" i="13"/>
  <c r="AO177" i="13"/>
  <c r="I4" i="13"/>
  <c r="AP177" i="13"/>
  <c r="G4" i="13"/>
  <c r="AN177" i="13"/>
  <c r="AQ3" i="13"/>
  <c r="G81" i="13"/>
  <c r="G93" i="13" s="1"/>
  <c r="E136" i="12"/>
  <c r="G60" i="13"/>
  <c r="G73" i="13" s="1"/>
  <c r="AR73" i="13" s="1"/>
  <c r="H60" i="13"/>
  <c r="H73" i="13" s="1"/>
  <c r="AS73" i="13" s="1"/>
  <c r="I60" i="13"/>
  <c r="I73" i="13" s="1"/>
  <c r="AT73" i="13" s="1"/>
  <c r="E28" i="12"/>
  <c r="F273" i="12"/>
  <c r="J117" i="13"/>
  <c r="AQ6" i="13"/>
  <c r="J263" i="12"/>
  <c r="K261" i="12"/>
  <c r="E75" i="12"/>
  <c r="J64" i="12"/>
  <c r="K219" i="12"/>
  <c r="K218" i="12"/>
  <c r="AF137" i="13" s="1"/>
  <c r="D179" i="12"/>
  <c r="D209" i="12" s="1"/>
  <c r="D214" i="12" s="1"/>
  <c r="D5" i="12"/>
  <c r="D32" i="12" s="1"/>
  <c r="Q4" i="6"/>
  <c r="BB51" i="1"/>
  <c r="BB56" i="1" s="1"/>
  <c r="BF57" i="1" s="1"/>
  <c r="G10" i="13"/>
  <c r="I10" i="13"/>
  <c r="E207" i="12"/>
  <c r="E62" i="12"/>
  <c r="E8" i="12"/>
  <c r="J10" i="13"/>
  <c r="C43" i="12"/>
  <c r="C53" i="12" s="1"/>
  <c r="C58" i="12" s="1"/>
  <c r="C48" i="12"/>
  <c r="F207" i="12"/>
  <c r="C42" i="12"/>
  <c r="C52" i="12" s="1"/>
  <c r="C57" i="12" s="1"/>
  <c r="C47" i="12"/>
  <c r="I12" i="13"/>
  <c r="J12" i="13"/>
  <c r="H119" i="13"/>
  <c r="D31" i="12"/>
  <c r="H12" i="13"/>
  <c r="G12" i="13"/>
  <c r="I113" i="13"/>
  <c r="I114" i="13" s="1"/>
  <c r="E38" i="12"/>
  <c r="E171" i="12" s="1"/>
  <c r="E121" i="12"/>
  <c r="E142" i="12"/>
  <c r="E37" i="12"/>
  <c r="C38" i="12"/>
  <c r="C37" i="12"/>
  <c r="G118" i="13"/>
  <c r="H118" i="13"/>
  <c r="I118" i="13"/>
  <c r="J118" i="13"/>
  <c r="E161" i="12"/>
  <c r="E25" i="12"/>
  <c r="E107" i="12" s="1"/>
  <c r="O47" i="6" s="1"/>
  <c r="G107" i="13"/>
  <c r="J81" i="13"/>
  <c r="J41" i="13"/>
  <c r="J63" i="13" s="1"/>
  <c r="I41" i="13"/>
  <c r="I63" i="13" s="1"/>
  <c r="I94" i="13" s="1"/>
  <c r="G41" i="13"/>
  <c r="G63" i="13" s="1"/>
  <c r="G94" i="13" s="1"/>
  <c r="H41" i="13"/>
  <c r="H63" i="13" s="1"/>
  <c r="H94" i="13" s="1"/>
  <c r="H62" i="13"/>
  <c r="AS62" i="13" s="1"/>
  <c r="I62" i="13"/>
  <c r="AT62" i="13" s="1"/>
  <c r="D133" i="12"/>
  <c r="D134" i="12" s="1"/>
  <c r="F188" i="12"/>
  <c r="D163" i="12"/>
  <c r="E189" i="12"/>
  <c r="J56" i="13"/>
  <c r="J33" i="13"/>
  <c r="J2" i="13" s="1"/>
  <c r="E18" i="12"/>
  <c r="BB162" i="1"/>
  <c r="BB144" i="1"/>
  <c r="J62" i="13"/>
  <c r="N232" i="12" l="1"/>
  <c r="M105" i="12"/>
  <c r="M91" i="13"/>
  <c r="C1231" i="7"/>
  <c r="F118" i="12"/>
  <c r="E118" i="12"/>
  <c r="BB296" i="1"/>
  <c r="BB298" i="1" s="1"/>
  <c r="AU62" i="13"/>
  <c r="AQ2" i="13"/>
  <c r="AQ169" i="13" s="1"/>
  <c r="J169" i="13"/>
  <c r="G68" i="13"/>
  <c r="E157" i="12"/>
  <c r="F280" i="12"/>
  <c r="F275" i="12"/>
  <c r="F277" i="12" s="1"/>
  <c r="G277" i="12" s="1"/>
  <c r="J194" i="12"/>
  <c r="K194" i="12" s="1"/>
  <c r="L194" i="12" s="1"/>
  <c r="M194" i="12" s="1"/>
  <c r="N194" i="12" s="1"/>
  <c r="O194" i="12" s="1"/>
  <c r="P194" i="12" s="1"/>
  <c r="G86" i="13"/>
  <c r="AU60" i="13"/>
  <c r="J86" i="13"/>
  <c r="K93" i="13"/>
  <c r="K123" i="13" s="1"/>
  <c r="K128" i="13" s="1"/>
  <c r="AQ4" i="13"/>
  <c r="AU4" i="13"/>
  <c r="G99" i="13"/>
  <c r="G123" i="13"/>
  <c r="G128" i="13" s="1"/>
  <c r="E166" i="12"/>
  <c r="AP60" i="13"/>
  <c r="AT60" i="13"/>
  <c r="AP4" i="13"/>
  <c r="AT4" i="13"/>
  <c r="H93" i="13"/>
  <c r="H123" i="13" s="1"/>
  <c r="H128" i="13" s="1"/>
  <c r="L81" i="13"/>
  <c r="L93" i="13" s="1"/>
  <c r="L123" i="13" s="1"/>
  <c r="L128" i="13" s="1"/>
  <c r="L91" i="13"/>
  <c r="I93" i="13"/>
  <c r="AO4" i="13"/>
  <c r="AS4" i="13"/>
  <c r="I119" i="13"/>
  <c r="I108" i="13"/>
  <c r="AO60" i="13"/>
  <c r="AS60" i="13"/>
  <c r="AN60" i="13"/>
  <c r="AR60" i="13"/>
  <c r="BB255" i="1"/>
  <c r="BB292" i="1"/>
  <c r="AN4" i="13"/>
  <c r="AR4" i="13"/>
  <c r="J69" i="13"/>
  <c r="E109" i="12"/>
  <c r="E172" i="12"/>
  <c r="E259" i="12"/>
  <c r="E29" i="12"/>
  <c r="E131" i="12"/>
  <c r="L261" i="12"/>
  <c r="K263" i="12"/>
  <c r="D6" i="12"/>
  <c r="D33" i="12" s="1"/>
  <c r="L218" i="12"/>
  <c r="J230" i="12"/>
  <c r="K64" i="12"/>
  <c r="L219" i="12"/>
  <c r="D201" i="12"/>
  <c r="AQ60" i="13"/>
  <c r="R4" i="6"/>
  <c r="E26" i="12"/>
  <c r="BB64" i="1"/>
  <c r="J68" i="13"/>
  <c r="J91" i="13"/>
  <c r="J67" i="13"/>
  <c r="I68" i="13"/>
  <c r="H91" i="13"/>
  <c r="H67" i="13"/>
  <c r="G91" i="13"/>
  <c r="G67" i="13"/>
  <c r="I91" i="13"/>
  <c r="I67" i="13"/>
  <c r="H68" i="13"/>
  <c r="H206" i="12"/>
  <c r="E34" i="12"/>
  <c r="E48" i="12"/>
  <c r="I1022" i="7" s="1"/>
  <c r="E47" i="12"/>
  <c r="E42" i="12"/>
  <c r="J113" i="13"/>
  <c r="J114" i="13" s="1"/>
  <c r="F189" i="12"/>
  <c r="E160" i="12"/>
  <c r="E12" i="12" s="1"/>
  <c r="E23" i="12" s="1"/>
  <c r="G64" i="13"/>
  <c r="H64" i="13"/>
  <c r="AS64" i="13" s="1"/>
  <c r="I64" i="13"/>
  <c r="AT64" i="13" s="1"/>
  <c r="G188" i="12"/>
  <c r="J93" i="13"/>
  <c r="J88" i="13"/>
  <c r="J76" i="13" s="1"/>
  <c r="J66" i="13"/>
  <c r="J97" i="13" s="1"/>
  <c r="E19" i="12"/>
  <c r="E24" i="12" s="1"/>
  <c r="J64" i="13"/>
  <c r="AU64" i="13" s="1"/>
  <c r="J94" i="13"/>
  <c r="E163" i="12" l="1"/>
  <c r="E153" i="12"/>
  <c r="H185" i="12"/>
  <c r="H179" i="12"/>
  <c r="O232" i="12"/>
  <c r="N105" i="12"/>
  <c r="M81" i="13"/>
  <c r="M93" i="13" s="1"/>
  <c r="X81" i="13"/>
  <c r="Y81" i="13"/>
  <c r="Y93" i="13" s="1"/>
  <c r="Y123" i="13" s="1"/>
  <c r="BB302" i="1"/>
  <c r="BB303" i="1" s="1"/>
  <c r="H207" i="12"/>
  <c r="BB297" i="1"/>
  <c r="E158" i="12"/>
  <c r="E179" i="12"/>
  <c r="E5" i="12"/>
  <c r="E32" i="12" s="1"/>
  <c r="E133" i="12"/>
  <c r="E130" i="12"/>
  <c r="M122" i="13"/>
  <c r="M127" i="13" s="1"/>
  <c r="K99" i="13"/>
  <c r="J139" i="13"/>
  <c r="G189" i="12"/>
  <c r="I99" i="13"/>
  <c r="I123" i="13"/>
  <c r="I128" i="13" s="1"/>
  <c r="L98" i="13"/>
  <c r="L122" i="13"/>
  <c r="L127" i="13" s="1"/>
  <c r="H99" i="13"/>
  <c r="E167" i="12"/>
  <c r="M99" i="13"/>
  <c r="M123" i="13"/>
  <c r="M128" i="13" s="1"/>
  <c r="J99" i="13"/>
  <c r="J123" i="13"/>
  <c r="J128" i="13" s="1"/>
  <c r="G98" i="13"/>
  <c r="G122" i="13"/>
  <c r="G127" i="13" s="1"/>
  <c r="I107" i="13"/>
  <c r="J98" i="13"/>
  <c r="J122" i="13"/>
  <c r="J127" i="13" s="1"/>
  <c r="I98" i="13"/>
  <c r="I122" i="13"/>
  <c r="I127" i="13" s="1"/>
  <c r="H98" i="13"/>
  <c r="H122" i="13"/>
  <c r="H127" i="13" s="1"/>
  <c r="M95" i="13"/>
  <c r="M98" i="13"/>
  <c r="E39" i="12"/>
  <c r="E83" i="12" s="1"/>
  <c r="J108" i="13"/>
  <c r="J107" i="13" s="1"/>
  <c r="L95" i="13"/>
  <c r="L99" i="13"/>
  <c r="E102" i="12"/>
  <c r="O19" i="6"/>
  <c r="O46" i="6" s="1"/>
  <c r="F109" i="12"/>
  <c r="E103" i="12"/>
  <c r="E11" i="12"/>
  <c r="E22" i="12" s="1"/>
  <c r="E31" i="12" s="1"/>
  <c r="G280" i="12"/>
  <c r="F281" i="12"/>
  <c r="M261" i="12"/>
  <c r="L263" i="12"/>
  <c r="K230" i="12"/>
  <c r="J234" i="12"/>
  <c r="J220" i="12"/>
  <c r="I249" i="12"/>
  <c r="M218" i="12"/>
  <c r="M219" i="12"/>
  <c r="L64" i="12"/>
  <c r="M64" i="12" s="1"/>
  <c r="N64" i="12" s="1"/>
  <c r="O64" i="12" s="1"/>
  <c r="P64" i="12" s="1"/>
  <c r="I70" i="13"/>
  <c r="H70" i="13"/>
  <c r="S4" i="6"/>
  <c r="J81" i="12"/>
  <c r="F11" i="10" s="1"/>
  <c r="G95" i="13"/>
  <c r="G124" i="13" s="1"/>
  <c r="G129" i="13" s="1"/>
  <c r="J119" i="13"/>
  <c r="H95" i="13"/>
  <c r="H124" i="13" s="1"/>
  <c r="H129" i="13" s="1"/>
  <c r="J70" i="13"/>
  <c r="I95" i="13"/>
  <c r="I124" i="13" s="1"/>
  <c r="I129" i="13" s="1"/>
  <c r="I206" i="12"/>
  <c r="E53" i="12"/>
  <c r="G70" i="13"/>
  <c r="J46" i="13"/>
  <c r="J103" i="13"/>
  <c r="J116" i="13" s="1"/>
  <c r="J121" i="13" s="1"/>
  <c r="H188" i="12"/>
  <c r="J95" i="13"/>
  <c r="J100" i="13"/>
  <c r="I207" i="12" l="1"/>
  <c r="I185" i="12"/>
  <c r="I179" i="12"/>
  <c r="P232" i="12"/>
  <c r="P105" i="12" s="1"/>
  <c r="O105" i="12"/>
  <c r="X93" i="13"/>
  <c r="Z81" i="13"/>
  <c r="I166" i="12" s="1"/>
  <c r="J166" i="12" s="1"/>
  <c r="S81" i="13"/>
  <c r="N81" i="13"/>
  <c r="N91" i="13"/>
  <c r="F136" i="12"/>
  <c r="H189" i="12"/>
  <c r="E1165" i="7"/>
  <c r="R14" i="6"/>
  <c r="BG3" i="13"/>
  <c r="N138" i="15" s="1"/>
  <c r="H197" i="12"/>
  <c r="E58" i="12"/>
  <c r="E6" i="12"/>
  <c r="E33" i="12" s="1"/>
  <c r="E43" i="12"/>
  <c r="E209" i="12"/>
  <c r="E214" i="12" s="1"/>
  <c r="E201" i="12"/>
  <c r="E180" i="12"/>
  <c r="E137" i="12"/>
  <c r="E144" i="12" s="1"/>
  <c r="E145" i="12" s="1"/>
  <c r="E134" i="12"/>
  <c r="O51" i="6"/>
  <c r="J124" i="13"/>
  <c r="J129" i="13" s="1"/>
  <c r="E168" i="12"/>
  <c r="I1021" i="7"/>
  <c r="E44" i="12"/>
  <c r="E173" i="12"/>
  <c r="M101" i="13"/>
  <c r="M124" i="13"/>
  <c r="M129" i="13" s="1"/>
  <c r="AT95" i="13"/>
  <c r="AS95" i="13"/>
  <c r="E49" i="12"/>
  <c r="E63" i="12"/>
  <c r="O20" i="6"/>
  <c r="E54" i="12"/>
  <c r="E59" i="12" s="1"/>
  <c r="L101" i="13"/>
  <c r="L124" i="13"/>
  <c r="L129" i="13" s="1"/>
  <c r="J101" i="13"/>
  <c r="G101" i="13"/>
  <c r="J138" i="13"/>
  <c r="I101" i="13"/>
  <c r="H101" i="13"/>
  <c r="E52" i="12"/>
  <c r="E57" i="12" s="1"/>
  <c r="H280" i="12"/>
  <c r="G281" i="12"/>
  <c r="N261" i="12"/>
  <c r="M263" i="12"/>
  <c r="N218" i="12"/>
  <c r="K220" i="12"/>
  <c r="J221" i="12"/>
  <c r="J249" i="12"/>
  <c r="N219" i="12"/>
  <c r="L230" i="12"/>
  <c r="K234" i="12"/>
  <c r="T4" i="6"/>
  <c r="K81" i="12"/>
  <c r="K175" i="12"/>
  <c r="J206" i="12"/>
  <c r="J207" i="12" s="1"/>
  <c r="J115" i="12"/>
  <c r="J191" i="12"/>
  <c r="I188" i="12"/>
  <c r="I189" i="12" s="1"/>
  <c r="K166" i="12" l="1"/>
  <c r="L166" i="12" s="1"/>
  <c r="M166" i="12" s="1"/>
  <c r="N166" i="12" s="1"/>
  <c r="O166" i="12" s="1"/>
  <c r="P166" i="12" s="1"/>
  <c r="N98" i="13"/>
  <c r="N122" i="13"/>
  <c r="N127" i="13" s="1"/>
  <c r="F166" i="12"/>
  <c r="N93" i="13"/>
  <c r="O81" i="13"/>
  <c r="O93" i="13" s="1"/>
  <c r="O99" i="13" s="1"/>
  <c r="O91" i="13"/>
  <c r="X123" i="13"/>
  <c r="X128" i="13" s="1"/>
  <c r="X99" i="13"/>
  <c r="F137" i="12"/>
  <c r="I136" i="12"/>
  <c r="AE3" i="13"/>
  <c r="AD3" i="13"/>
  <c r="I197" i="12"/>
  <c r="I198" i="12" s="1"/>
  <c r="S91" i="13"/>
  <c r="E21" i="10"/>
  <c r="E22" i="10" s="1"/>
  <c r="E138" i="12"/>
  <c r="I280" i="12"/>
  <c r="H281" i="12"/>
  <c r="O261" i="12"/>
  <c r="O263" i="12" s="1"/>
  <c r="D266" i="12" s="1"/>
  <c r="D267" i="12" s="1"/>
  <c r="N263" i="12"/>
  <c r="M230" i="12"/>
  <c r="L234" i="12"/>
  <c r="O218" i="12"/>
  <c r="L220" i="12"/>
  <c r="K221" i="12"/>
  <c r="K249" i="12"/>
  <c r="O219" i="12"/>
  <c r="U4" i="6"/>
  <c r="L81" i="12"/>
  <c r="V4" i="6" s="1"/>
  <c r="V8" i="6" s="1"/>
  <c r="L175" i="12"/>
  <c r="K206" i="12"/>
  <c r="K207" i="12" s="1"/>
  <c r="K115" i="12"/>
  <c r="AF3" i="13" s="1"/>
  <c r="K191" i="12"/>
  <c r="J188" i="12"/>
  <c r="J189" i="12" s="1"/>
  <c r="D113" i="12"/>
  <c r="D149" i="12" s="1"/>
  <c r="D178" i="12" s="1"/>
  <c r="D203" i="12" s="1"/>
  <c r="E2" i="12"/>
  <c r="E216" i="12" s="1"/>
  <c r="V7" i="6" l="1"/>
  <c r="P81" i="13"/>
  <c r="P93" i="13" s="1"/>
  <c r="P99" i="13" s="1"/>
  <c r="P91" i="13"/>
  <c r="O98" i="13"/>
  <c r="O122" i="13"/>
  <c r="O127" i="13" s="1"/>
  <c r="N95" i="13"/>
  <c r="N99" i="13"/>
  <c r="N123" i="13"/>
  <c r="N128" i="13" s="1"/>
  <c r="O123" i="13"/>
  <c r="O128" i="13" s="1"/>
  <c r="J136" i="12"/>
  <c r="K136" i="12" s="1"/>
  <c r="L136" i="12" s="1"/>
  <c r="M136" i="12" s="1"/>
  <c r="N136" i="12" s="1"/>
  <c r="O136" i="12" s="1"/>
  <c r="P136" i="12" s="1"/>
  <c r="O95" i="13"/>
  <c r="O124" i="13" s="1"/>
  <c r="O129" i="13" s="1"/>
  <c r="BK3" i="13"/>
  <c r="AD20" i="13"/>
  <c r="V27" i="6"/>
  <c r="W93" i="13"/>
  <c r="W123" i="13" s="1"/>
  <c r="W128" i="13" s="1"/>
  <c r="W91" i="13"/>
  <c r="S122" i="13"/>
  <c r="S127" i="13" s="1"/>
  <c r="R84" i="13"/>
  <c r="G29" i="12" s="1"/>
  <c r="S98" i="13"/>
  <c r="S93" i="13"/>
  <c r="J280" i="12"/>
  <c r="I281" i="12"/>
  <c r="D265" i="12"/>
  <c r="D268" i="12" s="1"/>
  <c r="D269" i="12" s="1"/>
  <c r="P218" i="12"/>
  <c r="P219" i="12"/>
  <c r="M220" i="12"/>
  <c r="L221" i="12"/>
  <c r="L249" i="12"/>
  <c r="N230" i="12"/>
  <c r="M234" i="12"/>
  <c r="M81" i="12"/>
  <c r="M175" i="12"/>
  <c r="L206" i="12"/>
  <c r="L207" i="12" s="1"/>
  <c r="L115" i="12"/>
  <c r="L191" i="12"/>
  <c r="K188" i="12"/>
  <c r="K189" i="12" s="1"/>
  <c r="E113" i="12"/>
  <c r="E149" i="12" s="1"/>
  <c r="E178" i="12" s="1"/>
  <c r="E203" i="12" s="1"/>
  <c r="F2" i="12"/>
  <c r="E20" i="10" s="1"/>
  <c r="E44" i="10" s="1"/>
  <c r="AD121" i="8"/>
  <c r="AD129" i="8" s="1"/>
  <c r="AD155" i="8" s="1"/>
  <c r="AC121" i="8"/>
  <c r="AC129" i="8" s="1"/>
  <c r="AC155" i="8" s="1"/>
  <c r="AB121" i="8"/>
  <c r="AB129" i="8" s="1"/>
  <c r="AB155" i="8" s="1"/>
  <c r="AA121" i="8"/>
  <c r="AA129" i="8" s="1"/>
  <c r="AA155" i="8" s="1"/>
  <c r="AD21" i="8"/>
  <c r="AC21" i="8"/>
  <c r="AB21" i="8"/>
  <c r="AA21" i="8"/>
  <c r="P123" i="13" l="1"/>
  <c r="P128" i="13" s="1"/>
  <c r="P95" i="13"/>
  <c r="O138" i="13"/>
  <c r="C327" i="15" s="1"/>
  <c r="N124" i="13"/>
  <c r="N129" i="13" s="1"/>
  <c r="N101" i="13"/>
  <c r="AU95" i="13"/>
  <c r="P98" i="13"/>
  <c r="P122" i="13"/>
  <c r="P127" i="13" s="1"/>
  <c r="Q81" i="13"/>
  <c r="Q91" i="13"/>
  <c r="G136" i="12"/>
  <c r="O101" i="13"/>
  <c r="X91" i="13"/>
  <c r="W98" i="13"/>
  <c r="W122" i="13"/>
  <c r="W127" i="13" s="1"/>
  <c r="W95" i="13"/>
  <c r="W99" i="13"/>
  <c r="S99" i="13"/>
  <c r="S123" i="13"/>
  <c r="S128" i="13" s="1"/>
  <c r="S95" i="13"/>
  <c r="AW95" i="13"/>
  <c r="P138" i="13"/>
  <c r="D327" i="15" s="1"/>
  <c r="P101" i="13"/>
  <c r="P124" i="13"/>
  <c r="P129" i="13" s="1"/>
  <c r="K280" i="12"/>
  <c r="J281" i="12"/>
  <c r="F216" i="12"/>
  <c r="N234" i="12"/>
  <c r="O230" i="12"/>
  <c r="N220" i="12"/>
  <c r="M221" i="12"/>
  <c r="M249" i="12"/>
  <c r="N81" i="12"/>
  <c r="N175" i="12"/>
  <c r="M206" i="12"/>
  <c r="M207" i="12" s="1"/>
  <c r="M115" i="12"/>
  <c r="M191" i="12"/>
  <c r="L188" i="12"/>
  <c r="L189" i="12" s="1"/>
  <c r="G2" i="12"/>
  <c r="F20" i="10" s="1"/>
  <c r="F44" i="10" s="1"/>
  <c r="F113" i="12"/>
  <c r="F149" i="12" s="1"/>
  <c r="F178" i="12" s="1"/>
  <c r="F203" i="12" s="1"/>
  <c r="D1044" i="7"/>
  <c r="Q93" i="13" l="1"/>
  <c r="Q95" i="13" s="1"/>
  <c r="G137" i="12"/>
  <c r="Q98" i="13"/>
  <c r="Q122" i="13"/>
  <c r="Q127" i="13" s="1"/>
  <c r="R81" i="13"/>
  <c r="R93" i="13" s="1"/>
  <c r="R91" i="13"/>
  <c r="W166" i="13"/>
  <c r="W167" i="13" s="1"/>
  <c r="BH95" i="13"/>
  <c r="X98" i="13"/>
  <c r="X122" i="13"/>
  <c r="X95" i="13"/>
  <c r="W124" i="13"/>
  <c r="W129" i="13" s="1"/>
  <c r="BD95" i="13"/>
  <c r="W101" i="13"/>
  <c r="AZ95" i="13"/>
  <c r="BY95" i="13"/>
  <c r="D1156" i="7"/>
  <c r="S166" i="13"/>
  <c r="S167" i="13" s="1"/>
  <c r="S101" i="13"/>
  <c r="S124" i="13"/>
  <c r="S129" i="13" s="1"/>
  <c r="E1044" i="7"/>
  <c r="L280" i="12"/>
  <c r="K281" i="12"/>
  <c r="G216" i="12"/>
  <c r="O220" i="12"/>
  <c r="N221" i="12"/>
  <c r="N249" i="12"/>
  <c r="O234" i="12"/>
  <c r="P230" i="12"/>
  <c r="P234" i="12" s="1"/>
  <c r="O81" i="12"/>
  <c r="O175" i="12"/>
  <c r="N206" i="12"/>
  <c r="N207" i="12" s="1"/>
  <c r="N115" i="12"/>
  <c r="N191" i="12"/>
  <c r="M188" i="12"/>
  <c r="M189" i="12" s="1"/>
  <c r="H2" i="12"/>
  <c r="G20" i="10" s="1"/>
  <c r="G44" i="10" s="1"/>
  <c r="G113" i="12"/>
  <c r="G149" i="12" s="1"/>
  <c r="G178" i="12" s="1"/>
  <c r="G203" i="12" s="1"/>
  <c r="N634" i="7"/>
  <c r="N633" i="7"/>
  <c r="N632" i="7"/>
  <c r="AX95" i="13" l="1"/>
  <c r="Q138" i="13"/>
  <c r="E327" i="15" s="1"/>
  <c r="Q124" i="13"/>
  <c r="Q129" i="13" s="1"/>
  <c r="Q101" i="13"/>
  <c r="R99" i="13"/>
  <c r="R123" i="13"/>
  <c r="R128" i="13" s="1"/>
  <c r="G166" i="12"/>
  <c r="R98" i="13"/>
  <c r="R122" i="13"/>
  <c r="R127" i="13" s="1"/>
  <c r="R95" i="13"/>
  <c r="Q123" i="13"/>
  <c r="Q128" i="13" s="1"/>
  <c r="Q99" i="13"/>
  <c r="BI95" i="13"/>
  <c r="AE79" i="13"/>
  <c r="AD79" i="13"/>
  <c r="X124" i="13"/>
  <c r="X166" i="13"/>
  <c r="X167" i="13" s="1"/>
  <c r="F1044" i="7"/>
  <c r="M280" i="12"/>
  <c r="L281" i="12"/>
  <c r="H216" i="12"/>
  <c r="P220" i="12"/>
  <c r="O221" i="12"/>
  <c r="O249" i="12"/>
  <c r="P81" i="12"/>
  <c r="P175" i="12"/>
  <c r="O206" i="12"/>
  <c r="O207" i="12" s="1"/>
  <c r="O115" i="12"/>
  <c r="O191" i="12"/>
  <c r="N188" i="12"/>
  <c r="N189" i="12" s="1"/>
  <c r="I2" i="12"/>
  <c r="H20" i="10" s="1"/>
  <c r="H44" i="10" s="1"/>
  <c r="H113" i="12"/>
  <c r="H149" i="12" s="1"/>
  <c r="H178" i="12" s="1"/>
  <c r="H203" i="12" s="1"/>
  <c r="AY95" i="13" l="1"/>
  <c r="R101" i="13"/>
  <c r="S138" i="13"/>
  <c r="G327" i="15" s="1"/>
  <c r="R138" i="13"/>
  <c r="F327" i="15" s="1"/>
  <c r="R124" i="13"/>
  <c r="R129" i="13" s="1"/>
  <c r="AF79" i="13"/>
  <c r="AD81" i="13"/>
  <c r="AD83" i="13" s="1"/>
  <c r="AD84" i="13" s="1"/>
  <c r="AE81" i="13"/>
  <c r="AE83" i="13" s="1"/>
  <c r="J28" i="12"/>
  <c r="G1044" i="7"/>
  <c r="H1044" i="7" s="1"/>
  <c r="I1044" i="7" s="1"/>
  <c r="N280" i="12"/>
  <c r="M281" i="12"/>
  <c r="I216" i="12"/>
  <c r="P221" i="12"/>
  <c r="P249" i="12"/>
  <c r="P206" i="12"/>
  <c r="P207" i="12" s="1"/>
  <c r="P115" i="12"/>
  <c r="P191" i="12"/>
  <c r="P188" i="12" s="1"/>
  <c r="O188" i="12"/>
  <c r="O189" i="12" s="1"/>
  <c r="J2" i="12"/>
  <c r="I113" i="12"/>
  <c r="I149" i="12" s="1"/>
  <c r="I178" i="12" s="1"/>
  <c r="I203" i="12" s="1"/>
  <c r="C637" i="7"/>
  <c r="O634" i="7"/>
  <c r="O633" i="7"/>
  <c r="N637" i="7"/>
  <c r="O635" i="7"/>
  <c r="AF81" i="13" l="1"/>
  <c r="K28" i="12"/>
  <c r="O280" i="12"/>
  <c r="N281" i="12"/>
  <c r="J216" i="12"/>
  <c r="I20" i="10"/>
  <c r="I44" i="10" s="1"/>
  <c r="P189" i="12"/>
  <c r="K2" i="12"/>
  <c r="J113" i="12"/>
  <c r="J149" i="12" s="1"/>
  <c r="J178" i="12" s="1"/>
  <c r="J203" i="12" s="1"/>
  <c r="L637" i="7"/>
  <c r="M28" i="12" l="1"/>
  <c r="L28" i="12"/>
  <c r="AF83" i="13"/>
  <c r="P280" i="12"/>
  <c r="P281" i="12" s="1"/>
  <c r="O281" i="12"/>
  <c r="K216" i="12"/>
  <c r="J20" i="10"/>
  <c r="J44" i="10" s="1"/>
  <c r="L2" i="12"/>
  <c r="K113" i="12"/>
  <c r="K149" i="12" s="1"/>
  <c r="K178" i="12" s="1"/>
  <c r="K203" i="12" s="1"/>
  <c r="G1026" i="7"/>
  <c r="E1026" i="7"/>
  <c r="D1026" i="7" s="1"/>
  <c r="C1026" i="7" s="1"/>
  <c r="N28" i="12" l="1"/>
  <c r="H1026" i="7"/>
  <c r="I1026" i="7" s="1"/>
  <c r="J1026" i="7" s="1"/>
  <c r="K1026" i="7" s="1"/>
  <c r="L1026" i="7" s="1"/>
  <c r="D283" i="12"/>
  <c r="D284" i="12" s="1"/>
  <c r="D282" i="12"/>
  <c r="L216" i="12"/>
  <c r="K20" i="10"/>
  <c r="K44" i="10" s="1"/>
  <c r="M2" i="12"/>
  <c r="L113" i="12"/>
  <c r="L149" i="12" s="1"/>
  <c r="L178" i="12" s="1"/>
  <c r="L203" i="12" s="1"/>
  <c r="C1017" i="7"/>
  <c r="E1017" i="7"/>
  <c r="F1017" i="7" s="1"/>
  <c r="G1017" i="7" s="1"/>
  <c r="H1017" i="7" s="1"/>
  <c r="I1017" i="7" s="1"/>
  <c r="J1017" i="7" s="1"/>
  <c r="K1017" i="7" s="1"/>
  <c r="L1017" i="7" s="1"/>
  <c r="M1017" i="7" s="1"/>
  <c r="J636" i="7"/>
  <c r="O636" i="7" s="1"/>
  <c r="G637" i="7"/>
  <c r="I637" i="7"/>
  <c r="O28" i="12" l="1"/>
  <c r="D285" i="12"/>
  <c r="D286" i="12" s="1"/>
  <c r="M216" i="12"/>
  <c r="L20" i="10"/>
  <c r="L44" i="10" s="1"/>
  <c r="N2" i="12"/>
  <c r="M113" i="12"/>
  <c r="M149" i="12" s="1"/>
  <c r="M178" i="12" s="1"/>
  <c r="M203" i="12" s="1"/>
  <c r="D656" i="2"/>
  <c r="E656" i="2"/>
  <c r="F655" i="2"/>
  <c r="E285" i="12" l="1"/>
  <c r="N216" i="12"/>
  <c r="M20" i="10"/>
  <c r="M44" i="10" s="1"/>
  <c r="O2" i="12"/>
  <c r="N113" i="12"/>
  <c r="N149" i="12" s="1"/>
  <c r="N178" i="12" s="1"/>
  <c r="N203" i="12" s="1"/>
  <c r="I612" i="7"/>
  <c r="E611" i="7"/>
  <c r="C611" i="7"/>
  <c r="G615" i="7"/>
  <c r="K615" i="7" s="1"/>
  <c r="L615" i="7" s="1"/>
  <c r="G617" i="7"/>
  <c r="D614" i="7"/>
  <c r="K614" i="7" s="1"/>
  <c r="L614" i="7" s="1"/>
  <c r="H613" i="7"/>
  <c r="E613" i="7"/>
  <c r="C613" i="7"/>
  <c r="H612" i="7"/>
  <c r="F612" i="7"/>
  <c r="E612" i="7"/>
  <c r="C612" i="7"/>
  <c r="H611" i="7"/>
  <c r="F611" i="7"/>
  <c r="AV29" i="1"/>
  <c r="P28" i="12" l="1"/>
  <c r="K612" i="7"/>
  <c r="L612" i="7" s="1"/>
  <c r="K611" i="7"/>
  <c r="L611" i="7" s="1"/>
  <c r="F617" i="7"/>
  <c r="O216" i="12"/>
  <c r="N20" i="10"/>
  <c r="N44" i="10" s="1"/>
  <c r="AW29" i="1"/>
  <c r="P2" i="12"/>
  <c r="O20" i="10" s="1"/>
  <c r="O44" i="10" s="1"/>
  <c r="P44" i="10" s="1"/>
  <c r="Q44" i="10" s="1"/>
  <c r="R44" i="10" s="1"/>
  <c r="S44" i="10" s="1"/>
  <c r="T44" i="10" s="1"/>
  <c r="U44" i="10" s="1"/>
  <c r="O113" i="12"/>
  <c r="O149" i="12" s="1"/>
  <c r="O178" i="12" s="1"/>
  <c r="O203" i="12" s="1"/>
  <c r="E617" i="7"/>
  <c r="D617" i="7"/>
  <c r="C617" i="7"/>
  <c r="H617" i="7"/>
  <c r="BA145" i="1"/>
  <c r="BA150" i="1" s="1"/>
  <c r="BA54" i="1"/>
  <c r="DL128" i="1"/>
  <c r="DL125" i="1"/>
  <c r="DL15" i="1"/>
  <c r="BA12" i="1"/>
  <c r="BA11" i="1"/>
  <c r="BA6" i="1"/>
  <c r="BA209" i="1"/>
  <c r="BA280" i="1"/>
  <c r="BA279" i="1"/>
  <c r="BA276" i="1"/>
  <c r="BA269" i="1"/>
  <c r="BA249" i="1"/>
  <c r="BE251" i="1" s="1"/>
  <c r="BA166" i="1"/>
  <c r="BA286" i="1"/>
  <c r="BA296" i="1" s="1"/>
  <c r="AZ143" i="1"/>
  <c r="BA140" i="1"/>
  <c r="BA152" i="1" s="1"/>
  <c r="BA133" i="1"/>
  <c r="BA134" i="1" s="1"/>
  <c r="BA132" i="1"/>
  <c r="BA109" i="1"/>
  <c r="BA105" i="1"/>
  <c r="BA106" i="1" s="1"/>
  <c r="BA122" i="1"/>
  <c r="BA172" i="1" l="1"/>
  <c r="BB250" i="1"/>
  <c r="BB254" i="1"/>
  <c r="BB32" i="1"/>
  <c r="BB10" i="1"/>
  <c r="BA235" i="1"/>
  <c r="BA255" i="1" s="1"/>
  <c r="P113" i="12"/>
  <c r="P149" i="12" s="1"/>
  <c r="P178" i="12" s="1"/>
  <c r="P203" i="12" s="1"/>
  <c r="P216" i="12"/>
  <c r="I33" i="13"/>
  <c r="I2" i="13" s="1"/>
  <c r="I56" i="13"/>
  <c r="BA124" i="1"/>
  <c r="BA127" i="1" s="1"/>
  <c r="I5" i="13"/>
  <c r="BA167" i="1"/>
  <c r="BA298" i="1"/>
  <c r="BA233" i="1"/>
  <c r="BA278" i="1" s="1"/>
  <c r="BA175" i="1"/>
  <c r="AX29" i="1"/>
  <c r="AX28" i="1" s="1"/>
  <c r="BA158" i="1"/>
  <c r="BA293" i="1"/>
  <c r="BE294" i="1" s="1"/>
  <c r="BA256" i="1"/>
  <c r="BE257" i="1" s="1"/>
  <c r="BA162" i="1"/>
  <c r="BA144" i="1"/>
  <c r="V140" i="5"/>
  <c r="V53" i="5"/>
  <c r="L88" i="13"/>
  <c r="L76" i="13" s="1"/>
  <c r="L103" i="13" s="1"/>
  <c r="L116" i="13" s="1"/>
  <c r="L121" i="13" s="1"/>
  <c r="AP2" i="13" l="1"/>
  <c r="AP169" i="13" s="1"/>
  <c r="I169" i="13"/>
  <c r="BA245" i="1"/>
  <c r="BA301" i="1" s="1"/>
  <c r="BA302" i="1" s="1"/>
  <c r="BA303" i="1" s="1"/>
  <c r="BA292" i="1"/>
  <c r="BA297" i="1" s="1"/>
  <c r="K2" i="13"/>
  <c r="BA291" i="1"/>
  <c r="I100" i="13"/>
  <c r="I69" i="13"/>
  <c r="BA137" i="1"/>
  <c r="BA160" i="1" s="1"/>
  <c r="AY29" i="1"/>
  <c r="I88" i="13"/>
  <c r="I76" i="13" s="1"/>
  <c r="I66" i="13"/>
  <c r="I97" i="13" s="1"/>
  <c r="D1012" i="7"/>
  <c r="E1012" i="7" s="1"/>
  <c r="F1012" i="7" s="1"/>
  <c r="G1012" i="7" s="1"/>
  <c r="AR2" i="13" l="1"/>
  <c r="AR169" i="13" s="1"/>
  <c r="K169" i="13"/>
  <c r="K88" i="13"/>
  <c r="K76" i="13" s="1"/>
  <c r="K103" i="13" s="1"/>
  <c r="K116" i="13" s="1"/>
  <c r="K121" i="13" s="1"/>
  <c r="K66" i="13"/>
  <c r="K97" i="13" s="1"/>
  <c r="I46" i="13"/>
  <c r="I103" i="13"/>
  <c r="I116" i="13" s="1"/>
  <c r="I121" i="13" s="1"/>
  <c r="AZ29" i="1"/>
  <c r="R631" i="7"/>
  <c r="M632" i="7"/>
  <c r="BA29" i="1" l="1"/>
  <c r="BB29" i="1" s="1"/>
  <c r="U684" i="7"/>
  <c r="V683" i="7"/>
  <c r="U683" i="7"/>
  <c r="B643" i="7"/>
  <c r="B642" i="7"/>
  <c r="B641" i="7"/>
  <c r="B640" i="7"/>
  <c r="Q631" i="7"/>
  <c r="Q630" i="7"/>
  <c r="O632" i="7"/>
  <c r="E637" i="7"/>
  <c r="D637" i="7"/>
  <c r="BB28" i="1" l="1"/>
  <c r="BB30" i="1"/>
  <c r="BC29" i="1"/>
  <c r="Q632" i="7"/>
  <c r="O637" i="7"/>
  <c r="BC30" i="1" l="1"/>
  <c r="BD29" i="1"/>
  <c r="Q637" i="7"/>
  <c r="R633" i="7"/>
  <c r="R637" i="7"/>
  <c r="R635" i="7"/>
  <c r="R634" i="7"/>
  <c r="R632" i="7"/>
  <c r="Q635" i="7"/>
  <c r="Q633" i="7"/>
  <c r="Q634" i="7"/>
  <c r="K588" i="7"/>
  <c r="M588" i="7" s="1"/>
  <c r="N588" i="7" s="1"/>
  <c r="BE29" i="1" l="1"/>
  <c r="BD30" i="1"/>
  <c r="K592" i="7"/>
  <c r="K613" i="7"/>
  <c r="F758" i="2"/>
  <c r="DK15" i="1"/>
  <c r="DJ15" i="1"/>
  <c r="DK128" i="1"/>
  <c r="DK125" i="1"/>
  <c r="DK123" i="1"/>
  <c r="DK122" i="1"/>
  <c r="DK120" i="1"/>
  <c r="DK104" i="1"/>
  <c r="DK103" i="1"/>
  <c r="DK102" i="1"/>
  <c r="DK101" i="1"/>
  <c r="DK100" i="1"/>
  <c r="DK96" i="1"/>
  <c r="DK88" i="1"/>
  <c r="DK85" i="1"/>
  <c r="DK83" i="1"/>
  <c r="DK82" i="1"/>
  <c r="DK81" i="1"/>
  <c r="DK79" i="1"/>
  <c r="DK78" i="1"/>
  <c r="DK76" i="1"/>
  <c r="DK73" i="1"/>
  <c r="DK63" i="1"/>
  <c r="DK35" i="1"/>
  <c r="DK31" i="1"/>
  <c r="DK29" i="1"/>
  <c r="DK25" i="1"/>
  <c r="DJ133" i="1"/>
  <c r="DJ128" i="1"/>
  <c r="DJ125" i="1"/>
  <c r="DJ123" i="1"/>
  <c r="DJ122" i="1"/>
  <c r="DJ120" i="1"/>
  <c r="DJ104" i="1"/>
  <c r="DJ103" i="1"/>
  <c r="DJ102" i="1"/>
  <c r="DJ101" i="1"/>
  <c r="DJ100" i="1"/>
  <c r="DJ96" i="1"/>
  <c r="DJ93" i="1"/>
  <c r="DJ92" i="1"/>
  <c r="DJ88" i="1"/>
  <c r="DJ85" i="1"/>
  <c r="DJ83" i="1"/>
  <c r="DJ82" i="1"/>
  <c r="DJ81" i="1"/>
  <c r="DJ79" i="1"/>
  <c r="DJ78" i="1"/>
  <c r="DJ76" i="1"/>
  <c r="DJ73" i="1"/>
  <c r="DJ63" i="1"/>
  <c r="DJ35" i="1"/>
  <c r="DJ31" i="1"/>
  <c r="DJ29" i="1"/>
  <c r="DJ25" i="1"/>
  <c r="DK3" i="1"/>
  <c r="DJ3" i="1"/>
  <c r="BE30" i="1" l="1"/>
  <c r="BF29" i="1"/>
  <c r="BF28" i="1" s="1"/>
  <c r="K593" i="7"/>
  <c r="I617" i="7"/>
  <c r="AZ249" i="1"/>
  <c r="BD251" i="1" s="1"/>
  <c r="AZ280" i="1"/>
  <c r="AZ279" i="1"/>
  <c r="AZ269" i="1"/>
  <c r="AZ202" i="1"/>
  <c r="AZ209" i="1"/>
  <c r="AZ164" i="1"/>
  <c r="AZ166" i="1" s="1"/>
  <c r="AZ54" i="1"/>
  <c r="AZ12" i="1"/>
  <c r="AZ11" i="1"/>
  <c r="AZ6" i="1"/>
  <c r="AZ4" i="1"/>
  <c r="H17" i="13" s="1"/>
  <c r="AS17" i="13" s="1"/>
  <c r="AZ162" i="1"/>
  <c r="AZ134" i="1"/>
  <c r="AZ132" i="1"/>
  <c r="AZ158" i="1"/>
  <c r="AZ140" i="1"/>
  <c r="AZ144" i="1" s="1"/>
  <c r="AZ109" i="1"/>
  <c r="AZ105" i="1"/>
  <c r="AZ106" i="1" s="1"/>
  <c r="AZ160" i="1"/>
  <c r="L613" i="7" l="1"/>
  <c r="L617" i="7" s="1"/>
  <c r="K617" i="7"/>
  <c r="BF30" i="1"/>
  <c r="BG29" i="1"/>
  <c r="H19" i="13"/>
  <c r="AS19" i="13" s="1"/>
  <c r="I19" i="13"/>
  <c r="AT19" i="13" s="1"/>
  <c r="AZ293" i="1"/>
  <c r="BD294" i="1" s="1"/>
  <c r="AZ167" i="1"/>
  <c r="AZ175" i="1"/>
  <c r="AZ172" i="1"/>
  <c r="AZ124" i="1"/>
  <c r="AZ127" i="1" s="1"/>
  <c r="H5" i="13"/>
  <c r="AZ5" i="1"/>
  <c r="BA36" i="1"/>
  <c r="BA16" i="1"/>
  <c r="DP16" i="1" s="1"/>
  <c r="BA5" i="1"/>
  <c r="AZ30" i="1"/>
  <c r="BA30" i="1"/>
  <c r="AZ16" i="1"/>
  <c r="AZ36" i="1"/>
  <c r="AZ39" i="1" s="1"/>
  <c r="AZ41" i="1" s="1"/>
  <c r="BA32" i="1"/>
  <c r="BA10" i="1"/>
  <c r="BA254" i="1"/>
  <c r="BA250" i="1"/>
  <c r="U316" i="5"/>
  <c r="V316" i="5"/>
  <c r="AY249" i="1"/>
  <c r="BC251" i="1" s="1"/>
  <c r="AZ286" i="1"/>
  <c r="AZ296" i="1" s="1"/>
  <c r="AY140" i="1"/>
  <c r="T358" i="5"/>
  <c r="T352" i="5"/>
  <c r="T347" i="5"/>
  <c r="T340" i="5"/>
  <c r="T335" i="5"/>
  <c r="T30" i="9"/>
  <c r="T28" i="9"/>
  <c r="T67" i="5"/>
  <c r="T326" i="5"/>
  <c r="T323" i="5"/>
  <c r="T290" i="5"/>
  <c r="T298" i="5"/>
  <c r="AX202" i="1"/>
  <c r="AV189" i="1"/>
  <c r="AW189" i="1" s="1"/>
  <c r="AX189" i="1" s="1"/>
  <c r="AV191" i="1"/>
  <c r="T293" i="5" s="1"/>
  <c r="U140" i="5"/>
  <c r="T140" i="5"/>
  <c r="AX93" i="1"/>
  <c r="T147" i="5"/>
  <c r="T188" i="5"/>
  <c r="T172" i="5"/>
  <c r="T170" i="5"/>
  <c r="T168" i="5"/>
  <c r="T156" i="5"/>
  <c r="AZ122" i="1"/>
  <c r="DJ145" i="1"/>
  <c r="E63" i="15" l="1"/>
  <c r="E70" i="15"/>
  <c r="D63" i="15"/>
  <c r="D70" i="15"/>
  <c r="BG30" i="1"/>
  <c r="BH29" i="1"/>
  <c r="AV190" i="1"/>
  <c r="AV194" i="1" s="1"/>
  <c r="AZ22" i="1"/>
  <c r="AZ55" i="1" s="1"/>
  <c r="DO16" i="1"/>
  <c r="AZ44" i="1"/>
  <c r="AZ46" i="1" s="1"/>
  <c r="AZ47" i="1" s="1"/>
  <c r="I20" i="13"/>
  <c r="AT20" i="13" s="1"/>
  <c r="H20" i="13"/>
  <c r="AS20" i="13" s="1"/>
  <c r="T286" i="5"/>
  <c r="AZ235" i="1"/>
  <c r="AZ245" i="1" s="1"/>
  <c r="AZ301" i="1" s="1"/>
  <c r="AZ302" i="1" s="1"/>
  <c r="AZ303" i="1" s="1"/>
  <c r="AZ40" i="1"/>
  <c r="AZ42" i="1" s="1"/>
  <c r="AZ49" i="1"/>
  <c r="AZ20" i="1"/>
  <c r="H100" i="13"/>
  <c r="H69" i="13"/>
  <c r="BA39" i="1"/>
  <c r="BA44" i="1" s="1"/>
  <c r="AZ233" i="1"/>
  <c r="H33" i="13"/>
  <c r="H2" i="13" s="1"/>
  <c r="H56" i="13"/>
  <c r="BA22" i="1"/>
  <c r="BA20" i="1"/>
  <c r="AZ298" i="1"/>
  <c r="AZ250" i="1"/>
  <c r="AZ254" i="1"/>
  <c r="T327" i="5"/>
  <c r="T79" i="5"/>
  <c r="T78" i="5" s="1"/>
  <c r="AV192" i="1"/>
  <c r="AY280" i="1"/>
  <c r="AY279" i="1"/>
  <c r="AY264" i="1"/>
  <c r="AX264" i="1"/>
  <c r="AW264" i="1"/>
  <c r="AV264" i="1"/>
  <c r="AY269" i="1"/>
  <c r="AZ291" i="1" l="1"/>
  <c r="AZ278" i="1"/>
  <c r="AZ37" i="1"/>
  <c r="AO2" i="13"/>
  <c r="AO169" i="13" s="1"/>
  <c r="H169" i="13"/>
  <c r="BH30" i="1"/>
  <c r="BI29" i="1"/>
  <c r="H86" i="13"/>
  <c r="I86" i="13"/>
  <c r="AZ45" i="1"/>
  <c r="AZ50" i="1" s="1"/>
  <c r="AZ51" i="1" s="1"/>
  <c r="AZ56" i="1" s="1"/>
  <c r="AZ255" i="1"/>
  <c r="AZ292" i="1"/>
  <c r="AZ297" i="1" s="1"/>
  <c r="H88" i="13"/>
  <c r="H76" i="13" s="1"/>
  <c r="H66" i="13"/>
  <c r="H97" i="13" s="1"/>
  <c r="BA45" i="1"/>
  <c r="BA46" i="1"/>
  <c r="BA47" i="1" s="1"/>
  <c r="AY276" i="1"/>
  <c r="BA49" i="1"/>
  <c r="BA40" i="1"/>
  <c r="BA41" i="1"/>
  <c r="BA55" i="1"/>
  <c r="BA37" i="1"/>
  <c r="AZ276" i="1"/>
  <c r="AZ256" i="1"/>
  <c r="BD257" i="1" s="1"/>
  <c r="T74" i="5"/>
  <c r="AY134" i="1"/>
  <c r="AY132" i="1"/>
  <c r="AY109" i="1"/>
  <c r="AY105" i="1"/>
  <c r="AY54" i="1"/>
  <c r="AY12" i="1"/>
  <c r="AY11" i="1"/>
  <c r="AY6" i="1"/>
  <c r="AY209" i="1"/>
  <c r="AX209" i="1"/>
  <c r="AY202" i="1"/>
  <c r="AY166" i="1"/>
  <c r="AY175" i="1" s="1"/>
  <c r="D913" i="2"/>
  <c r="D914" i="2" s="1"/>
  <c r="BI30" i="1" l="1"/>
  <c r="BJ29" i="1"/>
  <c r="BJ28" i="1" s="1"/>
  <c r="AZ64" i="1"/>
  <c r="BD57" i="1"/>
  <c r="BA42" i="1"/>
  <c r="H46" i="13"/>
  <c r="H103" i="13"/>
  <c r="H116" i="13" s="1"/>
  <c r="H121" i="13" s="1"/>
  <c r="BA50" i="1"/>
  <c r="BA51" i="1" s="1"/>
  <c r="BA56" i="1" s="1"/>
  <c r="AY106" i="1"/>
  <c r="AZ10" i="1"/>
  <c r="AZ32" i="1"/>
  <c r="T71" i="5"/>
  <c r="T76" i="5" s="1"/>
  <c r="T73" i="5"/>
  <c r="AY256" i="1"/>
  <c r="BC257" i="1" s="1"/>
  <c r="C866" i="2"/>
  <c r="BK29" i="1" l="1"/>
  <c r="BL29" i="1" s="1"/>
  <c r="BJ30" i="1"/>
  <c r="BA64" i="1"/>
  <c r="BE57" i="1"/>
  <c r="G5" i="13"/>
  <c r="AY124" i="1"/>
  <c r="AY127" i="1" s="1"/>
  <c r="T77" i="5"/>
  <c r="T80" i="5"/>
  <c r="AX97" i="1"/>
  <c r="AX54" i="1"/>
  <c r="BL30" i="1" l="1"/>
  <c r="BM29" i="1"/>
  <c r="BK30" i="1"/>
  <c r="E119" i="12"/>
  <c r="G100" i="13"/>
  <c r="G69" i="13"/>
  <c r="D923" i="2"/>
  <c r="BN29" i="1" l="1"/>
  <c r="BM30" i="1"/>
  <c r="F956" i="2"/>
  <c r="F957" i="2" s="1"/>
  <c r="BN30" i="1" l="1"/>
  <c r="BO29" i="1"/>
  <c r="F121" i="12"/>
  <c r="F4" i="12"/>
  <c r="F142" i="12"/>
  <c r="AX280" i="1"/>
  <c r="AX279" i="1"/>
  <c r="AX276" i="1"/>
  <c r="AX269" i="1"/>
  <c r="AX249" i="1"/>
  <c r="BB251" i="1" s="1"/>
  <c r="DI193" i="1"/>
  <c r="DI191" i="1"/>
  <c r="DI145" i="1"/>
  <c r="DI128" i="1"/>
  <c r="DI125" i="1"/>
  <c r="DI123" i="1"/>
  <c r="DI122" i="1"/>
  <c r="DI120" i="1"/>
  <c r="DI104" i="1"/>
  <c r="DI103" i="1"/>
  <c r="DI102" i="1"/>
  <c r="DI101" i="1"/>
  <c r="DI100" i="1"/>
  <c r="DI96" i="1"/>
  <c r="DI93" i="1"/>
  <c r="DI88" i="1"/>
  <c r="DI85" i="1"/>
  <c r="DI83" i="1"/>
  <c r="DI82" i="1"/>
  <c r="DI81" i="1"/>
  <c r="DI79" i="1"/>
  <c r="DI78" i="1"/>
  <c r="DI76" i="1"/>
  <c r="DI73" i="1"/>
  <c r="DI63" i="1"/>
  <c r="DI35" i="1"/>
  <c r="DI31" i="1"/>
  <c r="DI29" i="1"/>
  <c r="DI25" i="1"/>
  <c r="DI15" i="1"/>
  <c r="DI3" i="1"/>
  <c r="AX6" i="1"/>
  <c r="AX12" i="1"/>
  <c r="AX11" i="1"/>
  <c r="AX4" i="1"/>
  <c r="AX286" i="1"/>
  <c r="AX235" i="1" s="1"/>
  <c r="AX154" i="1"/>
  <c r="AX149" i="1"/>
  <c r="AW149" i="1"/>
  <c r="AX133" i="1"/>
  <c r="AX134" i="1" s="1"/>
  <c r="BB135" i="1" s="1"/>
  <c r="AX132" i="1"/>
  <c r="AX109" i="1"/>
  <c r="AX105" i="1"/>
  <c r="AX106" i="1" s="1"/>
  <c r="AX124" i="1" s="1"/>
  <c r="AX122" i="1"/>
  <c r="AX142" i="1"/>
  <c r="AX150" i="1"/>
  <c r="BO30" i="1" l="1"/>
  <c r="BP29" i="1"/>
  <c r="AY30" i="1"/>
  <c r="D123" i="12"/>
  <c r="AX144" i="1"/>
  <c r="AX296" i="1"/>
  <c r="AX298" i="1" s="1"/>
  <c r="AX233" i="1"/>
  <c r="AX278" i="1" s="1"/>
  <c r="F33" i="13"/>
  <c r="F2" i="13" s="1"/>
  <c r="F169" i="13" s="1"/>
  <c r="F56" i="13"/>
  <c r="F88" i="13" s="1"/>
  <c r="F76" i="13" s="1"/>
  <c r="F103" i="13" s="1"/>
  <c r="F116" i="13" s="1"/>
  <c r="G121" i="12"/>
  <c r="G4" i="12"/>
  <c r="G42" i="12" s="1"/>
  <c r="F11" i="12"/>
  <c r="AY10" i="1"/>
  <c r="AY32" i="1"/>
  <c r="DI150" i="1"/>
  <c r="AX190" i="1"/>
  <c r="AX152" i="1"/>
  <c r="AX157" i="1"/>
  <c r="AX158" i="1"/>
  <c r="AY254" i="1"/>
  <c r="AY250" i="1"/>
  <c r="AY16" i="1"/>
  <c r="DN16" i="1" s="1"/>
  <c r="AY36" i="1"/>
  <c r="AY5" i="1"/>
  <c r="AX293" i="1"/>
  <c r="BB294" i="1" s="1"/>
  <c r="AX127" i="1"/>
  <c r="AX155" i="1"/>
  <c r="AX162" i="1"/>
  <c r="AX256" i="1"/>
  <c r="AX151" i="1"/>
  <c r="AW54" i="1"/>
  <c r="AV54" i="1"/>
  <c r="BP30" i="1" l="1"/>
  <c r="BQ29" i="1"/>
  <c r="BG4" i="13"/>
  <c r="N194" i="15" s="1"/>
  <c r="BB257" i="1"/>
  <c r="F121" i="13"/>
  <c r="E124" i="12"/>
  <c r="E125" i="12"/>
  <c r="AX291" i="1"/>
  <c r="J117" i="12"/>
  <c r="F22" i="12"/>
  <c r="H4" i="12"/>
  <c r="H121" i="12"/>
  <c r="F138" i="12"/>
  <c r="F144" i="12"/>
  <c r="F145" i="12" s="1"/>
  <c r="F21" i="10"/>
  <c r="F22" i="10" s="1"/>
  <c r="G11" i="12"/>
  <c r="AX192" i="1"/>
  <c r="AX194" i="1"/>
  <c r="AY39" i="1"/>
  <c r="AX292" i="1"/>
  <c r="AX297" i="1" s="1"/>
  <c r="AX255" i="1"/>
  <c r="AX245" i="1"/>
  <c r="AY22" i="1"/>
  <c r="AY20" i="1"/>
  <c r="AX137" i="1"/>
  <c r="E956" i="2"/>
  <c r="E957" i="2" s="1"/>
  <c r="D956" i="2"/>
  <c r="D957" i="2" s="1"/>
  <c r="C956" i="2"/>
  <c r="C957" i="2" s="1"/>
  <c r="BQ30" i="1" l="1"/>
  <c r="BR29" i="1"/>
  <c r="BR30" i="1" s="1"/>
  <c r="AD4" i="13"/>
  <c r="BK4" i="13" s="1"/>
  <c r="AE4" i="13"/>
  <c r="E6" i="15"/>
  <c r="I6" i="15"/>
  <c r="BG6" i="13"/>
  <c r="D1144" i="7"/>
  <c r="G22" i="12"/>
  <c r="I4" i="12"/>
  <c r="I121" i="12"/>
  <c r="I137" i="12"/>
  <c r="K117" i="12"/>
  <c r="AF4" i="13" s="1"/>
  <c r="J120" i="12"/>
  <c r="F31" i="12"/>
  <c r="AY55" i="1"/>
  <c r="AY49" i="1"/>
  <c r="AY41" i="1"/>
  <c r="AY40" i="1"/>
  <c r="AY37" i="1"/>
  <c r="AX160" i="1"/>
  <c r="AY44" i="1"/>
  <c r="AW209" i="1"/>
  <c r="AW280" i="1"/>
  <c r="AW279" i="1"/>
  <c r="AW276" i="1"/>
  <c r="AW269" i="1"/>
  <c r="AW249" i="1"/>
  <c r="AW202" i="1"/>
  <c r="AW6" i="1"/>
  <c r="AW12" i="1"/>
  <c r="AW11" i="1"/>
  <c r="AV4" i="1"/>
  <c r="DH193" i="1"/>
  <c r="DH191" i="1"/>
  <c r="DH189" i="1"/>
  <c r="DH145" i="1"/>
  <c r="DH128" i="1"/>
  <c r="DH125" i="1"/>
  <c r="DH123" i="1"/>
  <c r="DH122" i="1"/>
  <c r="DH120" i="1"/>
  <c r="DH104" i="1"/>
  <c r="DH103" i="1"/>
  <c r="DH102" i="1"/>
  <c r="DH101" i="1"/>
  <c r="DH100" i="1"/>
  <c r="DH96" i="1"/>
  <c r="DH88" i="1"/>
  <c r="DH85" i="1"/>
  <c r="DH83" i="1"/>
  <c r="DH82" i="1"/>
  <c r="DH81" i="1"/>
  <c r="DH79" i="1"/>
  <c r="DH78" i="1"/>
  <c r="DH76" i="1"/>
  <c r="DH73" i="1"/>
  <c r="DH63" i="1"/>
  <c r="DH35" i="1"/>
  <c r="DH31" i="1"/>
  <c r="DH29" i="1"/>
  <c r="DH25" i="1"/>
  <c r="DH15" i="1"/>
  <c r="DH3" i="1"/>
  <c r="AW4" i="1"/>
  <c r="AX30" i="1" s="1"/>
  <c r="AW154" i="1"/>
  <c r="AW93" i="1"/>
  <c r="AV93" i="1"/>
  <c r="AW142" i="1"/>
  <c r="AW133" i="1"/>
  <c r="DL133" i="1" s="1"/>
  <c r="AW132" i="1"/>
  <c r="DL132" i="1" s="1"/>
  <c r="AW109" i="1"/>
  <c r="AW105" i="1"/>
  <c r="AW106" i="1" s="1"/>
  <c r="AW124" i="1" s="1"/>
  <c r="DL124" i="1" s="1"/>
  <c r="AE6" i="13" l="1"/>
  <c r="AD6" i="13"/>
  <c r="BK6" i="13" s="1"/>
  <c r="AF5" i="13"/>
  <c r="H11" i="12"/>
  <c r="G31" i="12"/>
  <c r="G52" i="12"/>
  <c r="G57" i="12" s="1"/>
  <c r="AW144" i="1"/>
  <c r="L117" i="12"/>
  <c r="K120" i="12"/>
  <c r="AF6" i="13" s="1"/>
  <c r="J133" i="12"/>
  <c r="J131" i="12" s="1"/>
  <c r="J11" i="12" s="1"/>
  <c r="J22" i="12" s="1"/>
  <c r="J121" i="12"/>
  <c r="J4" i="12"/>
  <c r="AV30" i="1"/>
  <c r="DK30" i="1" s="1"/>
  <c r="AW30" i="1"/>
  <c r="AY42" i="1"/>
  <c r="AX10" i="1"/>
  <c r="AX32" i="1"/>
  <c r="BA251" i="1"/>
  <c r="AW97" i="1"/>
  <c r="DK93" i="1"/>
  <c r="T137" i="5"/>
  <c r="AV97" i="1"/>
  <c r="AW5" i="1"/>
  <c r="AX36" i="1"/>
  <c r="AX16" i="1"/>
  <c r="DM16" i="1" s="1"/>
  <c r="AX5" i="1"/>
  <c r="AY45" i="1"/>
  <c r="AY46" i="1"/>
  <c r="AY47" i="1" s="1"/>
  <c r="AX250" i="1"/>
  <c r="AX254" i="1"/>
  <c r="AW36" i="1"/>
  <c r="AW134" i="1"/>
  <c r="AW155" i="1"/>
  <c r="AW16" i="1"/>
  <c r="AW256" i="1"/>
  <c r="AW127" i="1"/>
  <c r="C1031" i="2"/>
  <c r="D1029" i="2"/>
  <c r="D1030" i="2"/>
  <c r="BA257" i="1" l="1"/>
  <c r="I11" i="12"/>
  <c r="H22" i="12"/>
  <c r="J137" i="12"/>
  <c r="D3" i="10" s="1"/>
  <c r="I138" i="12"/>
  <c r="M117" i="12"/>
  <c r="L120" i="12"/>
  <c r="K133" i="12"/>
  <c r="K121" i="12"/>
  <c r="K4" i="12"/>
  <c r="AW137" i="1"/>
  <c r="DL127" i="1"/>
  <c r="BA135" i="1"/>
  <c r="DL134" i="1"/>
  <c r="AW20" i="1"/>
  <c r="DL16" i="1"/>
  <c r="AX22" i="1"/>
  <c r="AX20" i="1"/>
  <c r="AX39" i="1"/>
  <c r="AY50" i="1"/>
  <c r="AY51" i="1" s="1"/>
  <c r="AY56" i="1" s="1"/>
  <c r="BC57" i="1" s="1"/>
  <c r="D1031" i="2"/>
  <c r="AW39" i="1"/>
  <c r="AW44" i="1" s="1"/>
  <c r="AW22" i="1"/>
  <c r="AW55" i="1" s="1"/>
  <c r="U53" i="5"/>
  <c r="AV164" i="1"/>
  <c r="AY293" i="1"/>
  <c r="BC294" i="1" s="1"/>
  <c r="AY286" i="1"/>
  <c r="AY296" i="1" s="1"/>
  <c r="I22" i="12" l="1"/>
  <c r="H31" i="12"/>
  <c r="K131" i="12"/>
  <c r="K11" i="12" s="1"/>
  <c r="K22" i="12" s="1"/>
  <c r="AF60" i="13" s="1"/>
  <c r="K137" i="12"/>
  <c r="AY235" i="1"/>
  <c r="AY245" i="1" s="1"/>
  <c r="AY301" i="1" s="1"/>
  <c r="AY302" i="1" s="1"/>
  <c r="AY303" i="1" s="1"/>
  <c r="N117" i="12"/>
  <c r="M120" i="12"/>
  <c r="E185" i="12"/>
  <c r="E210" i="12" s="1"/>
  <c r="J138" i="12"/>
  <c r="L4" i="12"/>
  <c r="L121" i="12"/>
  <c r="L133" i="12"/>
  <c r="DM137" i="1"/>
  <c r="DL137" i="1"/>
  <c r="AY64" i="1"/>
  <c r="AX44" i="1"/>
  <c r="AX41" i="1"/>
  <c r="AX40" i="1"/>
  <c r="AX49" i="1"/>
  <c r="AX55" i="1"/>
  <c r="AX37" i="1"/>
  <c r="AW46" i="1"/>
  <c r="AW47" i="1" s="1"/>
  <c r="AW45" i="1"/>
  <c r="AW40" i="1"/>
  <c r="AW49" i="1"/>
  <c r="AW41" i="1"/>
  <c r="AW37" i="1"/>
  <c r="AV166" i="1"/>
  <c r="AV172" i="1" s="1"/>
  <c r="AV197" i="1" s="1"/>
  <c r="AW164" i="1"/>
  <c r="AX164" i="1" s="1"/>
  <c r="AV202" i="1"/>
  <c r="AV210" i="1"/>
  <c r="AV209" i="1"/>
  <c r="AV279" i="1"/>
  <c r="AV269" i="1"/>
  <c r="AV249" i="1"/>
  <c r="AZ251" i="1" s="1"/>
  <c r="AV286" i="1"/>
  <c r="AV235" i="1" s="1"/>
  <c r="AV154" i="1"/>
  <c r="AV151" i="1"/>
  <c r="AV133" i="1"/>
  <c r="AV132" i="1"/>
  <c r="DK132" i="1" s="1"/>
  <c r="AV109" i="1"/>
  <c r="DK109" i="1" s="1"/>
  <c r="AV105" i="1"/>
  <c r="DG193" i="1"/>
  <c r="DG191" i="1"/>
  <c r="DG189" i="1"/>
  <c r="DG145" i="1"/>
  <c r="DG128" i="1"/>
  <c r="DG125" i="1"/>
  <c r="DG123" i="1"/>
  <c r="DG122" i="1"/>
  <c r="DG120" i="1"/>
  <c r="DG104" i="1"/>
  <c r="DG103" i="1"/>
  <c r="DG102" i="1"/>
  <c r="DG101" i="1"/>
  <c r="DG100" i="1"/>
  <c r="DG96" i="1"/>
  <c r="DG88" i="1"/>
  <c r="DG85" i="1"/>
  <c r="DG83" i="1"/>
  <c r="DG82" i="1"/>
  <c r="DG81" i="1"/>
  <c r="DG79" i="1"/>
  <c r="DG78" i="1"/>
  <c r="DG76" i="1"/>
  <c r="DG73" i="1"/>
  <c r="DG63" i="1"/>
  <c r="DG35" i="1"/>
  <c r="DG31" i="1"/>
  <c r="DG29" i="1"/>
  <c r="DG25" i="1"/>
  <c r="DG15" i="1"/>
  <c r="DG3" i="1"/>
  <c r="AV11" i="1"/>
  <c r="AV6" i="1"/>
  <c r="AV122" i="1"/>
  <c r="AV142" i="1"/>
  <c r="AV149" i="1"/>
  <c r="I31" i="12" l="1"/>
  <c r="I52" i="12"/>
  <c r="AE60" i="13"/>
  <c r="AD60" i="13"/>
  <c r="AF86" i="13"/>
  <c r="AF91" i="13"/>
  <c r="AF67" i="13"/>
  <c r="AF37" i="13"/>
  <c r="AF73" i="13"/>
  <c r="AY255" i="1"/>
  <c r="L131" i="12"/>
  <c r="L11" i="12" s="1"/>
  <c r="L22" i="12" s="1"/>
  <c r="L137" i="12"/>
  <c r="J31" i="12"/>
  <c r="K138" i="12"/>
  <c r="AV162" i="1"/>
  <c r="AV296" i="1"/>
  <c r="AV298" i="1" s="1"/>
  <c r="E197" i="12"/>
  <c r="E182" i="12"/>
  <c r="E211" i="12" s="1"/>
  <c r="K31" i="12"/>
  <c r="AV233" i="1"/>
  <c r="AV278" i="1" s="1"/>
  <c r="D33" i="13"/>
  <c r="D2" i="13" s="1"/>
  <c r="D169" i="13" s="1"/>
  <c r="D56" i="13"/>
  <c r="D88" i="13" s="1"/>
  <c r="D76" i="13" s="1"/>
  <c r="D103" i="13" s="1"/>
  <c r="D116" i="13" s="1"/>
  <c r="M121" i="12"/>
  <c r="M133" i="12"/>
  <c r="M4" i="12"/>
  <c r="O117" i="12"/>
  <c r="N120" i="12"/>
  <c r="AV134" i="1"/>
  <c r="DK134" i="1" s="1"/>
  <c r="DK133" i="1"/>
  <c r="T221" i="5"/>
  <c r="T287" i="5" s="1"/>
  <c r="AV106" i="1"/>
  <c r="DK106" i="1" s="1"/>
  <c r="DK105" i="1"/>
  <c r="T251" i="5"/>
  <c r="AV200" i="1"/>
  <c r="AX42" i="1"/>
  <c r="AW10" i="1"/>
  <c r="AW32" i="1"/>
  <c r="AW50" i="1"/>
  <c r="AW51" i="1" s="1"/>
  <c r="AW56" i="1" s="1"/>
  <c r="AX166" i="1"/>
  <c r="AX46" i="1"/>
  <c r="AX47" i="1" s="1"/>
  <c r="AX45" i="1"/>
  <c r="AW42" i="1"/>
  <c r="AW166" i="1"/>
  <c r="AV175" i="1"/>
  <c r="AV293" i="1"/>
  <c r="AZ294" i="1" s="1"/>
  <c r="AW254" i="1"/>
  <c r="AW250" i="1"/>
  <c r="AV167" i="1"/>
  <c r="AV157" i="1"/>
  <c r="AV144" i="1"/>
  <c r="AV152" i="1"/>
  <c r="DK152" i="1" s="1"/>
  <c r="AV158" i="1"/>
  <c r="Z21" i="8"/>
  <c r="Z17" i="8"/>
  <c r="Z35" i="8" s="1"/>
  <c r="Z57" i="8" s="1"/>
  <c r="Z71" i="8" s="1"/>
  <c r="Z108" i="8" s="1"/>
  <c r="Z121" i="8" s="1"/>
  <c r="Z129" i="8" s="1"/>
  <c r="Z155" i="8" s="1"/>
  <c r="BK60" i="13" l="1"/>
  <c r="AD86" i="13"/>
  <c r="AE37" i="13"/>
  <c r="AE86" i="13"/>
  <c r="AE91" i="13"/>
  <c r="AE67" i="13"/>
  <c r="AE73" i="13"/>
  <c r="AF98" i="13"/>
  <c r="M131" i="12"/>
  <c r="M11" i="12" s="1"/>
  <c r="M22" i="12" s="1"/>
  <c r="M137" i="12"/>
  <c r="D121" i="13"/>
  <c r="AV291" i="1"/>
  <c r="E183" i="12"/>
  <c r="AZ135" i="1"/>
  <c r="L138" i="12"/>
  <c r="N133" i="12"/>
  <c r="N121" i="12"/>
  <c r="N4" i="12"/>
  <c r="L31" i="12"/>
  <c r="P117" i="12"/>
  <c r="P120" i="12" s="1"/>
  <c r="O120" i="12"/>
  <c r="AV124" i="1"/>
  <c r="DK124" i="1" s="1"/>
  <c r="AW64" i="1"/>
  <c r="BA57" i="1"/>
  <c r="AX50" i="1"/>
  <c r="AX51" i="1" s="1"/>
  <c r="AX56" i="1" s="1"/>
  <c r="BB57" i="1" s="1"/>
  <c r="AV292" i="1"/>
  <c r="AV297" i="1" s="1"/>
  <c r="AZ236" i="1"/>
  <c r="AX175" i="1"/>
  <c r="AX167" i="1"/>
  <c r="AX172" i="1"/>
  <c r="AX197" i="1" s="1"/>
  <c r="AX200" i="1" s="1"/>
  <c r="AW167" i="1"/>
  <c r="AW175" i="1"/>
  <c r="AV255" i="1"/>
  <c r="AV245" i="1"/>
  <c r="AY122" i="1"/>
  <c r="AW122" i="1"/>
  <c r="AW286" i="1"/>
  <c r="AW293" i="1"/>
  <c r="AE98" i="13" l="1"/>
  <c r="N131" i="12"/>
  <c r="N11" i="12" s="1"/>
  <c r="N22" i="12" s="1"/>
  <c r="N137" i="12"/>
  <c r="AW233" i="1"/>
  <c r="E33" i="13"/>
  <c r="E2" i="13" s="1"/>
  <c r="E169" i="13" s="1"/>
  <c r="E56" i="13"/>
  <c r="E88" i="13" s="1"/>
  <c r="E76" i="13" s="1"/>
  <c r="E103" i="13" s="1"/>
  <c r="E116" i="13" s="1"/>
  <c r="M31" i="12"/>
  <c r="M138" i="12"/>
  <c r="AV127" i="1"/>
  <c r="DK127" i="1" s="1"/>
  <c r="O121" i="12"/>
  <c r="O4" i="12"/>
  <c r="O133" i="12"/>
  <c r="AW235" i="1"/>
  <c r="AW292" i="1" s="1"/>
  <c r="AW296" i="1"/>
  <c r="AW298" i="1" s="1"/>
  <c r="AV155" i="1"/>
  <c r="P121" i="12"/>
  <c r="P133" i="12"/>
  <c r="P4" i="12"/>
  <c r="AY233" i="1"/>
  <c r="AY278" i="1" s="1"/>
  <c r="G33" i="13"/>
  <c r="G2" i="13" s="1"/>
  <c r="G56" i="13"/>
  <c r="BA294" i="1"/>
  <c r="AX64" i="1"/>
  <c r="B1079" i="2"/>
  <c r="B1078" i="2"/>
  <c r="C1097" i="2"/>
  <c r="C1096" i="2"/>
  <c r="S59" i="5"/>
  <c r="T59" i="5" s="1"/>
  <c r="S67" i="5"/>
  <c r="S156" i="5"/>
  <c r="S168" i="5"/>
  <c r="S170" i="5"/>
  <c r="T171" i="5" s="1"/>
  <c r="S172" i="5"/>
  <c r="T173" i="5" s="1"/>
  <c r="S188" i="5"/>
  <c r="S133" i="5"/>
  <c r="S28" i="9"/>
  <c r="S219" i="5" s="1"/>
  <c r="S30" i="9"/>
  <c r="S231" i="5" s="1"/>
  <c r="S147" i="5"/>
  <c r="AW157" i="1"/>
  <c r="AW150" i="1"/>
  <c r="AU209" i="1"/>
  <c r="AU202" i="1"/>
  <c r="AU190" i="1"/>
  <c r="AU194" i="1" s="1"/>
  <c r="AU249" i="1"/>
  <c r="AU279" i="1"/>
  <c r="AR268" i="1"/>
  <c r="AQ268" i="1"/>
  <c r="AP268" i="1"/>
  <c r="AU286" i="1"/>
  <c r="AU166" i="1"/>
  <c r="AU167" i="1" s="1"/>
  <c r="AU11" i="1"/>
  <c r="AU6" i="1"/>
  <c r="AV32" i="1" s="1"/>
  <c r="AU94" i="1"/>
  <c r="AV94" i="1" s="1"/>
  <c r="AU97" i="1"/>
  <c r="AU134" i="1"/>
  <c r="AU109" i="1"/>
  <c r="AU105" i="1"/>
  <c r="AU154" i="1"/>
  <c r="AU151" i="1"/>
  <c r="AU149" i="1"/>
  <c r="T119" i="5" s="1"/>
  <c r="AU142" i="1"/>
  <c r="AU54" i="1"/>
  <c r="AU132" i="1"/>
  <c r="DF193" i="1"/>
  <c r="DF191" i="1"/>
  <c r="DF189" i="1"/>
  <c r="DF164" i="1"/>
  <c r="DF128" i="1"/>
  <c r="DF125" i="1"/>
  <c r="DF123" i="1"/>
  <c r="DF122" i="1"/>
  <c r="DF120" i="1"/>
  <c r="DF104" i="1"/>
  <c r="DF103" i="1"/>
  <c r="DF102" i="1"/>
  <c r="DF101" i="1"/>
  <c r="DF100" i="1"/>
  <c r="DF96" i="1"/>
  <c r="DF92" i="1"/>
  <c r="DF88" i="1"/>
  <c r="DF85" i="1"/>
  <c r="DF83" i="1"/>
  <c r="DF82" i="1"/>
  <c r="DF81" i="1"/>
  <c r="DF79" i="1"/>
  <c r="DF78" i="1"/>
  <c r="DF76" i="1"/>
  <c r="DF73" i="1"/>
  <c r="DF35" i="1"/>
  <c r="DF31" i="1"/>
  <c r="DF29" i="1"/>
  <c r="DF25" i="1"/>
  <c r="DF15" i="1"/>
  <c r="DF3" i="1"/>
  <c r="AV36" i="1"/>
  <c r="DK36" i="1" s="1"/>
  <c r="AU122" i="1"/>
  <c r="AU158" i="1"/>
  <c r="S350" i="5"/>
  <c r="S358" i="5" s="1"/>
  <c r="S347" i="5"/>
  <c r="U347" i="5" s="1"/>
  <c r="V347" i="5" s="1"/>
  <c r="W347" i="5" s="1"/>
  <c r="X347" i="5" s="1"/>
  <c r="Y347" i="5" s="1"/>
  <c r="Z347" i="5" s="1"/>
  <c r="AA347" i="5" s="1"/>
  <c r="S340" i="5"/>
  <c r="U340" i="5" s="1"/>
  <c r="V340" i="5" s="1"/>
  <c r="W340" i="5" s="1"/>
  <c r="X340" i="5" s="1"/>
  <c r="Y340" i="5" s="1"/>
  <c r="Z340" i="5" s="1"/>
  <c r="AA340" i="5" s="1"/>
  <c r="S335" i="5"/>
  <c r="S298" i="5"/>
  <c r="M22" i="6" s="1"/>
  <c r="S293" i="5"/>
  <c r="V28" i="8" s="1"/>
  <c r="R59" i="5"/>
  <c r="R60" i="5" s="1"/>
  <c r="T53" i="5"/>
  <c r="S53" i="5"/>
  <c r="DC29" i="1"/>
  <c r="DE29" i="1"/>
  <c r="AT249" i="1"/>
  <c r="AT142" i="1"/>
  <c r="AS142" i="1"/>
  <c r="AR142" i="1"/>
  <c r="AQ142" i="1"/>
  <c r="AT97" i="1"/>
  <c r="AT94" i="1"/>
  <c r="AT207" i="1"/>
  <c r="AT202" i="1"/>
  <c r="AT189" i="1"/>
  <c r="AT154" i="1"/>
  <c r="AT151" i="1"/>
  <c r="DI151" i="1" s="1"/>
  <c r="AT149" i="1"/>
  <c r="AT133" i="1"/>
  <c r="DI133" i="1" s="1"/>
  <c r="AT132" i="1"/>
  <c r="DI132" i="1" s="1"/>
  <c r="AT109" i="1"/>
  <c r="DI109" i="1" s="1"/>
  <c r="AT105" i="1"/>
  <c r="AT279" i="1"/>
  <c r="AT54" i="1"/>
  <c r="DE120" i="1"/>
  <c r="DE104" i="1"/>
  <c r="DE103" i="1"/>
  <c r="DE102" i="1"/>
  <c r="DE101" i="1"/>
  <c r="DE100" i="1"/>
  <c r="DE96" i="1"/>
  <c r="DE92" i="1"/>
  <c r="DE88" i="1"/>
  <c r="DE85" i="1"/>
  <c r="DE83" i="1"/>
  <c r="DE82" i="1"/>
  <c r="DE81" i="1"/>
  <c r="DE79" i="1"/>
  <c r="DE78" i="1"/>
  <c r="DE76" i="1"/>
  <c r="DE73" i="1"/>
  <c r="DE35" i="1"/>
  <c r="DE31" i="1"/>
  <c r="DE25" i="1"/>
  <c r="DE15" i="1"/>
  <c r="DE3" i="1"/>
  <c r="AT26" i="1"/>
  <c r="AT11" i="1"/>
  <c r="AT6" i="1"/>
  <c r="AT4" i="1"/>
  <c r="L1253" i="2"/>
  <c r="L1254" i="2" s="1"/>
  <c r="P1254" i="2" s="1"/>
  <c r="L1245" i="2"/>
  <c r="L1244" i="2"/>
  <c r="AS207" i="1"/>
  <c r="AS190" i="1"/>
  <c r="DD29" i="1"/>
  <c r="DD31" i="1"/>
  <c r="AS93" i="1"/>
  <c r="AS54" i="1"/>
  <c r="AS26" i="1"/>
  <c r="AS279" i="1"/>
  <c r="AS249" i="1"/>
  <c r="AW251" i="1" s="1"/>
  <c r="AS286" i="1"/>
  <c r="AS235" i="1" s="1"/>
  <c r="AS202" i="1"/>
  <c r="AS209" i="1"/>
  <c r="AS154" i="1"/>
  <c r="AS151" i="1"/>
  <c r="AS149" i="1"/>
  <c r="AS132" i="1"/>
  <c r="DH132" i="1" s="1"/>
  <c r="AS133" i="1"/>
  <c r="DH133" i="1" s="1"/>
  <c r="AS109" i="1"/>
  <c r="DH109" i="1" s="1"/>
  <c r="AS105" i="1"/>
  <c r="DH105" i="1" s="1"/>
  <c r="AS122" i="1"/>
  <c r="AS233" i="1" s="1"/>
  <c r="AS278" i="1" s="1"/>
  <c r="DD193" i="1"/>
  <c r="DD191" i="1"/>
  <c r="DD128" i="1"/>
  <c r="DD125" i="1"/>
  <c r="DD123" i="1"/>
  <c r="DD122" i="1"/>
  <c r="DD120" i="1"/>
  <c r="DD104" i="1"/>
  <c r="DD103" i="1"/>
  <c r="DD102" i="1"/>
  <c r="DD101" i="1"/>
  <c r="DD100" i="1"/>
  <c r="DD96" i="1"/>
  <c r="DD92" i="1"/>
  <c r="DD88" i="1"/>
  <c r="DD85" i="1"/>
  <c r="DD83" i="1"/>
  <c r="DD82" i="1"/>
  <c r="DD81" i="1"/>
  <c r="DD79" i="1"/>
  <c r="DD78" i="1"/>
  <c r="DD76" i="1"/>
  <c r="DD73" i="1"/>
  <c r="DD35" i="1"/>
  <c r="DD25" i="1"/>
  <c r="DD15" i="1"/>
  <c r="DD3" i="1"/>
  <c r="AS4" i="1"/>
  <c r="AS11" i="1"/>
  <c r="AS6" i="1"/>
  <c r="C1007" i="7"/>
  <c r="C1006" i="7"/>
  <c r="C1005" i="7"/>
  <c r="R1004" i="7"/>
  <c r="Q1004" i="7"/>
  <c r="P1004" i="7"/>
  <c r="O1004" i="7"/>
  <c r="N1004" i="7"/>
  <c r="L1004" i="7"/>
  <c r="K1004" i="7"/>
  <c r="I1004" i="7"/>
  <c r="H1004" i="7"/>
  <c r="G1004" i="7"/>
  <c r="F1004" i="7"/>
  <c r="E1004" i="7"/>
  <c r="D1004" i="7"/>
  <c r="C1004" i="7"/>
  <c r="B1004" i="7"/>
  <c r="C999" i="7"/>
  <c r="C997" i="7"/>
  <c r="C996" i="7"/>
  <c r="C995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R994" i="7"/>
  <c r="Q994" i="7"/>
  <c r="P994" i="7"/>
  <c r="O994" i="7"/>
  <c r="N994" i="7"/>
  <c r="M994" i="7"/>
  <c r="L994" i="7"/>
  <c r="K994" i="7"/>
  <c r="J994" i="7"/>
  <c r="I994" i="7"/>
  <c r="H994" i="7"/>
  <c r="G994" i="7"/>
  <c r="F994" i="7"/>
  <c r="B994" i="7"/>
  <c r="C994" i="7"/>
  <c r="E1244" i="2"/>
  <c r="E1245" i="2"/>
  <c r="S8" i="8"/>
  <c r="T8" i="8" s="1"/>
  <c r="U8" i="8" s="1"/>
  <c r="V8" i="8" s="1"/>
  <c r="W8" i="8" s="1"/>
  <c r="X8" i="8" s="1"/>
  <c r="Y8" i="8" s="1"/>
  <c r="Z8" i="8" s="1"/>
  <c r="AA8" i="8" s="1"/>
  <c r="AB8" i="8" s="1"/>
  <c r="AC8" i="8" s="1"/>
  <c r="AD8" i="8" s="1"/>
  <c r="AE8" i="8" s="1"/>
  <c r="AT209" i="1"/>
  <c r="AR202" i="1"/>
  <c r="AR207" i="1"/>
  <c r="AR164" i="1"/>
  <c r="DG164" i="1" s="1"/>
  <c r="AR93" i="1"/>
  <c r="AR54" i="1"/>
  <c r="AR26" i="1"/>
  <c r="AR209" i="1"/>
  <c r="AR249" i="1"/>
  <c r="AR256" i="1" s="1"/>
  <c r="AR279" i="1"/>
  <c r="AR276" i="1"/>
  <c r="AR286" i="1"/>
  <c r="AR235" i="1" s="1"/>
  <c r="AR12" i="1"/>
  <c r="AR11" i="1"/>
  <c r="AR6" i="1"/>
  <c r="AR4" i="1"/>
  <c r="DC193" i="1"/>
  <c r="DC191" i="1"/>
  <c r="DC189" i="1"/>
  <c r="DC145" i="1"/>
  <c r="DC128" i="1"/>
  <c r="DC125" i="1"/>
  <c r="DC123" i="1"/>
  <c r="DC122" i="1"/>
  <c r="DC120" i="1"/>
  <c r="DC104" i="1"/>
  <c r="DC103" i="1"/>
  <c r="DC102" i="1"/>
  <c r="DC101" i="1"/>
  <c r="DC100" i="1"/>
  <c r="DC96" i="1"/>
  <c r="DC92" i="1"/>
  <c r="DC88" i="1"/>
  <c r="DC85" i="1"/>
  <c r="DC83" i="1"/>
  <c r="DC82" i="1"/>
  <c r="DC81" i="1"/>
  <c r="DC79" i="1"/>
  <c r="DC78" i="1"/>
  <c r="DC76" i="1"/>
  <c r="DC73" i="1"/>
  <c r="DC35" i="1"/>
  <c r="DC25" i="1"/>
  <c r="DC15" i="1"/>
  <c r="DC3" i="1"/>
  <c r="AR154" i="1"/>
  <c r="AR133" i="1"/>
  <c r="AR134" i="1" s="1"/>
  <c r="AR132" i="1"/>
  <c r="AR150" i="1"/>
  <c r="AR149" i="1"/>
  <c r="AR109" i="1"/>
  <c r="DG109" i="1" s="1"/>
  <c r="AR105" i="1"/>
  <c r="AR122" i="1"/>
  <c r="AR233" i="1" s="1"/>
  <c r="AR278" i="1" s="1"/>
  <c r="S684" i="7"/>
  <c r="T683" i="7"/>
  <c r="S683" i="7"/>
  <c r="R683" i="7"/>
  <c r="Q683" i="7"/>
  <c r="C686" i="7"/>
  <c r="D677" i="7"/>
  <c r="D676" i="7"/>
  <c r="D675" i="7"/>
  <c r="C678" i="7"/>
  <c r="AC56" i="7"/>
  <c r="AC47" i="7"/>
  <c r="AC46" i="7"/>
  <c r="AC45" i="7"/>
  <c r="AC43" i="7"/>
  <c r="F226" i="1"/>
  <c r="D226" i="1"/>
  <c r="C226" i="1"/>
  <c r="AQ12" i="1"/>
  <c r="AQ279" i="1"/>
  <c r="AQ249" i="1"/>
  <c r="AQ209" i="1"/>
  <c r="AQ202" i="1"/>
  <c r="AQ166" i="1"/>
  <c r="AQ93" i="1"/>
  <c r="AQ287" i="1"/>
  <c r="AQ286" i="1" s="1"/>
  <c r="AQ54" i="1"/>
  <c r="AQ26" i="1"/>
  <c r="AQ11" i="1"/>
  <c r="AQ6" i="1"/>
  <c r="AQ4" i="1"/>
  <c r="DB193" i="1"/>
  <c r="DB191" i="1"/>
  <c r="DB189" i="1"/>
  <c r="DB164" i="1"/>
  <c r="DB128" i="1"/>
  <c r="DB125" i="1"/>
  <c r="DB123" i="1"/>
  <c r="DB122" i="1"/>
  <c r="DB120" i="1"/>
  <c r="DB104" i="1"/>
  <c r="DB103" i="1"/>
  <c r="DB102" i="1"/>
  <c r="DB101" i="1"/>
  <c r="DB100" i="1"/>
  <c r="DB96" i="1"/>
  <c r="DB92" i="1"/>
  <c r="DB88" i="1"/>
  <c r="DB85" i="1"/>
  <c r="DB83" i="1"/>
  <c r="DB82" i="1"/>
  <c r="DB81" i="1"/>
  <c r="DB79" i="1"/>
  <c r="DB78" i="1"/>
  <c r="DB76" i="1"/>
  <c r="DB73" i="1"/>
  <c r="DB35" i="1"/>
  <c r="DB25" i="1"/>
  <c r="AC51" i="7" s="1"/>
  <c r="DB15" i="1"/>
  <c r="DB3" i="1"/>
  <c r="AQ140" i="1"/>
  <c r="AQ154" i="1" s="1"/>
  <c r="AQ145" i="1"/>
  <c r="AQ150" i="1" s="1"/>
  <c r="AQ133" i="1"/>
  <c r="DF133" i="1" s="1"/>
  <c r="AQ132" i="1"/>
  <c r="AQ109" i="1"/>
  <c r="AQ105" i="1"/>
  <c r="AQ106" i="1" s="1"/>
  <c r="AQ124" i="1" s="1"/>
  <c r="AQ122" i="1"/>
  <c r="AQ233" i="1" s="1"/>
  <c r="AQ63" i="1"/>
  <c r="T316" i="5"/>
  <c r="AT122" i="1"/>
  <c r="AT233" i="1" s="1"/>
  <c r="AT278" i="1" s="1"/>
  <c r="AA367" i="5"/>
  <c r="Z367" i="5"/>
  <c r="Y367" i="5"/>
  <c r="X367" i="5"/>
  <c r="W367" i="5"/>
  <c r="AA124" i="5"/>
  <c r="Z124" i="5"/>
  <c r="Y124" i="5"/>
  <c r="X124" i="5"/>
  <c r="W124" i="5"/>
  <c r="R350" i="5"/>
  <c r="R352" i="5" s="1"/>
  <c r="R347" i="5"/>
  <c r="R340" i="5"/>
  <c r="R335" i="5"/>
  <c r="R298" i="5"/>
  <c r="U111" i="8" s="1"/>
  <c r="R293" i="5"/>
  <c r="U28" i="8" s="1"/>
  <c r="R65" i="9"/>
  <c r="R72" i="9" s="1"/>
  <c r="Q65" i="9"/>
  <c r="Q50" i="9" s="1"/>
  <c r="R30" i="9"/>
  <c r="R231" i="5" s="1"/>
  <c r="R28" i="9"/>
  <c r="R219" i="5" s="1"/>
  <c r="R188" i="5"/>
  <c r="R186" i="5" s="1"/>
  <c r="R180" i="5"/>
  <c r="Q180" i="5"/>
  <c r="R172" i="5"/>
  <c r="R173" i="5" s="1"/>
  <c r="R170" i="5"/>
  <c r="R171" i="5" s="1"/>
  <c r="R168" i="5"/>
  <c r="R169" i="5" s="1"/>
  <c r="R156" i="5"/>
  <c r="R147" i="5"/>
  <c r="R230" i="5" s="1"/>
  <c r="R394" i="5" s="1"/>
  <c r="AP93" i="1"/>
  <c r="AO93" i="1"/>
  <c r="AO97" i="1" s="1"/>
  <c r="AN93" i="1"/>
  <c r="R133" i="5"/>
  <c r="R67" i="5"/>
  <c r="R16" i="5"/>
  <c r="R7" i="5" s="1"/>
  <c r="Q16" i="5"/>
  <c r="AO4" i="1"/>
  <c r="AB43" i="7"/>
  <c r="AB46" i="7"/>
  <c r="AB47" i="7"/>
  <c r="AB56" i="7"/>
  <c r="AO196" i="1"/>
  <c r="AP189" i="1"/>
  <c r="DA189" i="1" s="1"/>
  <c r="AP202" i="1"/>
  <c r="AP209" i="1"/>
  <c r="AP279" i="1"/>
  <c r="AP274" i="1"/>
  <c r="AP273" i="1"/>
  <c r="AP272" i="1"/>
  <c r="AP271" i="1"/>
  <c r="AP278" i="1" s="1"/>
  <c r="AP276" i="1"/>
  <c r="AP259" i="1"/>
  <c r="AP249" i="1"/>
  <c r="AP154" i="1"/>
  <c r="AP149" i="1"/>
  <c r="AP145" i="1"/>
  <c r="AP291" i="1"/>
  <c r="AP287" i="1"/>
  <c r="AP286" i="1" s="1"/>
  <c r="AP235" i="1" s="1"/>
  <c r="AP63" i="1"/>
  <c r="DE63" i="1" s="1"/>
  <c r="AP54" i="1"/>
  <c r="AP26" i="1"/>
  <c r="AP11" i="1"/>
  <c r="AP6" i="1"/>
  <c r="AP4" i="1"/>
  <c r="DA193" i="1"/>
  <c r="DA191" i="1"/>
  <c r="DA125" i="1"/>
  <c r="DA123" i="1"/>
  <c r="DA122" i="1"/>
  <c r="DA120" i="1"/>
  <c r="DA104" i="1"/>
  <c r="DA103" i="1"/>
  <c r="DA102" i="1"/>
  <c r="DA101" i="1"/>
  <c r="DA100" i="1"/>
  <c r="DA96" i="1"/>
  <c r="DA92" i="1"/>
  <c r="DA88" i="1"/>
  <c r="DA85" i="1"/>
  <c r="DA83" i="1"/>
  <c r="DA82" i="1"/>
  <c r="DA81" i="1"/>
  <c r="DA79" i="1"/>
  <c r="DA78" i="1"/>
  <c r="DA76" i="1"/>
  <c r="DA73" i="1"/>
  <c r="DA35" i="1"/>
  <c r="DA25" i="1"/>
  <c r="AB51" i="7" s="1"/>
  <c r="DA15" i="1"/>
  <c r="DA3" i="1"/>
  <c r="AP132" i="1"/>
  <c r="AP128" i="1"/>
  <c r="AP105" i="1"/>
  <c r="AP106" i="1" s="1"/>
  <c r="AP109" i="1"/>
  <c r="AP122" i="1"/>
  <c r="V13" i="8"/>
  <c r="S13" i="8"/>
  <c r="T13" i="8"/>
  <c r="U13" i="8"/>
  <c r="AO202" i="1"/>
  <c r="C1409" i="2"/>
  <c r="D965" i="7"/>
  <c r="E965" i="7" s="1"/>
  <c r="F965" i="7" s="1"/>
  <c r="AA56" i="7"/>
  <c r="AA47" i="7"/>
  <c r="AA46" i="7"/>
  <c r="AA43" i="7"/>
  <c r="Z56" i="7"/>
  <c r="Z47" i="7"/>
  <c r="Z46" i="7"/>
  <c r="Z43" i="7"/>
  <c r="AO269" i="1"/>
  <c r="AO188" i="1"/>
  <c r="R290" i="5" s="1"/>
  <c r="AO63" i="1"/>
  <c r="AO54" i="1"/>
  <c r="AO26" i="1"/>
  <c r="AO11" i="1"/>
  <c r="AO6" i="1"/>
  <c r="CZ193" i="1"/>
  <c r="CZ191" i="1"/>
  <c r="CZ128" i="1"/>
  <c r="CZ125" i="1"/>
  <c r="CZ123" i="1"/>
  <c r="CZ122" i="1"/>
  <c r="CZ120" i="1"/>
  <c r="CZ104" i="1"/>
  <c r="CZ103" i="1"/>
  <c r="CZ102" i="1"/>
  <c r="CZ101" i="1"/>
  <c r="CZ100" i="1"/>
  <c r="CZ96" i="1"/>
  <c r="CZ92" i="1"/>
  <c r="CZ88" i="1"/>
  <c r="CZ85" i="1"/>
  <c r="CZ83" i="1"/>
  <c r="CZ82" i="1"/>
  <c r="CZ81" i="1"/>
  <c r="CZ79" i="1"/>
  <c r="CZ78" i="1"/>
  <c r="CZ76" i="1"/>
  <c r="CZ73" i="1"/>
  <c r="CZ35" i="1"/>
  <c r="CZ25" i="1"/>
  <c r="AA51" i="7" s="1"/>
  <c r="CZ15" i="1"/>
  <c r="CZ3" i="1"/>
  <c r="AO140" i="1"/>
  <c r="AO149" i="1" s="1"/>
  <c r="AO145" i="1"/>
  <c r="DD145" i="1" s="1"/>
  <c r="AO189" i="1"/>
  <c r="CZ189" i="1" s="1"/>
  <c r="AO209" i="1"/>
  <c r="AO291" i="1"/>
  <c r="AO287" i="1"/>
  <c r="AO286" i="1" s="1"/>
  <c r="AO296" i="1" s="1"/>
  <c r="AO298" i="1" s="1"/>
  <c r="AN287" i="1"/>
  <c r="AN286" i="1" s="1"/>
  <c r="AO279" i="1"/>
  <c r="AO276" i="1"/>
  <c r="AO274" i="1"/>
  <c r="AO273" i="1"/>
  <c r="AO272" i="1"/>
  <c r="AO263" i="1"/>
  <c r="AP275" i="1" s="1"/>
  <c r="AO271" i="1"/>
  <c r="AO278" i="1" s="1"/>
  <c r="AO259" i="1"/>
  <c r="AO249" i="1"/>
  <c r="AO109" i="1"/>
  <c r="AO105" i="1"/>
  <c r="AO106" i="1" s="1"/>
  <c r="AO124" i="1" s="1"/>
  <c r="AO127" i="1" s="1"/>
  <c r="AN150" i="1"/>
  <c r="AN190" i="1" s="1"/>
  <c r="AM150" i="1"/>
  <c r="AM162" i="1" s="1"/>
  <c r="AO133" i="1"/>
  <c r="AO134" i="1" s="1"/>
  <c r="AO132" i="1"/>
  <c r="AO122" i="1"/>
  <c r="AJ105" i="1"/>
  <c r="AH248" i="1"/>
  <c r="AI248" i="1" s="1"/>
  <c r="AN164" i="1"/>
  <c r="AN166" i="1" s="1"/>
  <c r="AN133" i="1"/>
  <c r="AN137" i="1" s="1"/>
  <c r="AN202" i="1"/>
  <c r="AN132" i="1"/>
  <c r="AN109" i="1"/>
  <c r="AN105" i="1"/>
  <c r="AK150" i="1"/>
  <c r="AL150" i="1"/>
  <c r="AN209" i="1"/>
  <c r="AJ145" i="1"/>
  <c r="AJ189" i="1"/>
  <c r="CY193" i="1"/>
  <c r="CY191" i="1"/>
  <c r="AJ164" i="1"/>
  <c r="AJ133" i="1"/>
  <c r="CU133" i="1" s="1"/>
  <c r="AJ132" i="1"/>
  <c r="CU132" i="1" s="1"/>
  <c r="CY128" i="1"/>
  <c r="CY125" i="1"/>
  <c r="CY123" i="1"/>
  <c r="CY122" i="1"/>
  <c r="CY120" i="1"/>
  <c r="AJ109" i="1"/>
  <c r="CY104" i="1"/>
  <c r="CY103" i="1"/>
  <c r="CY102" i="1"/>
  <c r="CY101" i="1"/>
  <c r="CY100" i="1"/>
  <c r="CY96" i="1"/>
  <c r="AJ93" i="1"/>
  <c r="CY92" i="1"/>
  <c r="CY88" i="1"/>
  <c r="CY85" i="1"/>
  <c r="CY83" i="1"/>
  <c r="CY82" i="1"/>
  <c r="CY81" i="1"/>
  <c r="CY79" i="1"/>
  <c r="CY78" i="1"/>
  <c r="CY76" i="1"/>
  <c r="CY73" i="1"/>
  <c r="AM4" i="1"/>
  <c r="AN4" i="1"/>
  <c r="AN63" i="1"/>
  <c r="AI4" i="1"/>
  <c r="AJ4" i="1"/>
  <c r="AJ63" i="1"/>
  <c r="CU63" i="1" s="1"/>
  <c r="CY35" i="1"/>
  <c r="CY25" i="1"/>
  <c r="Z51" i="7" s="1"/>
  <c r="CY15" i="1"/>
  <c r="CY3" i="1"/>
  <c r="AN249" i="1"/>
  <c r="AJ261" i="1"/>
  <c r="AM249" i="1"/>
  <c r="AM293" i="1" s="1"/>
  <c r="AN291" i="1"/>
  <c r="AN268" i="1"/>
  <c r="AM268" i="1"/>
  <c r="AM269" i="1" s="1"/>
  <c r="AN279" i="1"/>
  <c r="AN271" i="1"/>
  <c r="AN278" i="1" s="1"/>
  <c r="AN276" i="1"/>
  <c r="AN263" i="1"/>
  <c r="AM263" i="1"/>
  <c r="AM275" i="1" s="1"/>
  <c r="AN274" i="1"/>
  <c r="AN273" i="1"/>
  <c r="AN272" i="1"/>
  <c r="AN259" i="1"/>
  <c r="AN149" i="1"/>
  <c r="AN154" i="1"/>
  <c r="AN144" i="1"/>
  <c r="AG66" i="1"/>
  <c r="AN54" i="1"/>
  <c r="AN26" i="1"/>
  <c r="AN11" i="1"/>
  <c r="AN6" i="1"/>
  <c r="AM6" i="1"/>
  <c r="S16" i="1"/>
  <c r="S27" i="1" s="1"/>
  <c r="Q130" i="7" s="1"/>
  <c r="O16" i="1"/>
  <c r="O22" i="1" s="1"/>
  <c r="O55" i="1" s="1"/>
  <c r="AN122" i="1"/>
  <c r="Y17" i="8"/>
  <c r="Y35" i="8"/>
  <c r="Y57" i="8" s="1"/>
  <c r="Y71" i="8" s="1"/>
  <c r="Y108" i="8" s="1"/>
  <c r="Y121" i="8" s="1"/>
  <c r="Y129" i="8" s="1"/>
  <c r="Y155" i="8" s="1"/>
  <c r="P46" i="5"/>
  <c r="Q45" i="5" s="1"/>
  <c r="Q46" i="5"/>
  <c r="R45" i="5" s="1"/>
  <c r="P16" i="5"/>
  <c r="M4" i="5"/>
  <c r="Q67" i="5"/>
  <c r="Q79" i="5" s="1"/>
  <c r="Q78" i="5" s="1"/>
  <c r="S88" i="5"/>
  <c r="T88" i="5" s="1"/>
  <c r="BZ3" i="1"/>
  <c r="CA3" i="1"/>
  <c r="CB3" i="1"/>
  <c r="CC3" i="1"/>
  <c r="C431" i="7" s="1"/>
  <c r="CD3" i="1"/>
  <c r="D431" i="7" s="1"/>
  <c r="CE3" i="1"/>
  <c r="E431" i="7" s="1"/>
  <c r="CF3" i="1"/>
  <c r="F431" i="7" s="1"/>
  <c r="C437" i="7" s="1"/>
  <c r="I437" i="7" s="1"/>
  <c r="CG3" i="1"/>
  <c r="G431" i="7" s="1"/>
  <c r="D437" i="7" s="1"/>
  <c r="J437" i="7" s="1"/>
  <c r="CH3" i="1"/>
  <c r="CI3" i="1"/>
  <c r="CJ3" i="1"/>
  <c r="CK3" i="1"/>
  <c r="F760" i="7" s="1"/>
  <c r="CL3" i="1"/>
  <c r="G760" i="7" s="1"/>
  <c r="CM3" i="1"/>
  <c r="H760" i="7" s="1"/>
  <c r="CN3" i="1"/>
  <c r="I760" i="7" s="1"/>
  <c r="CO3" i="1"/>
  <c r="J760" i="7" s="1"/>
  <c r="CP3" i="1"/>
  <c r="L760" i="7" s="1"/>
  <c r="CQ3" i="1"/>
  <c r="CR3" i="1"/>
  <c r="CS3" i="1"/>
  <c r="CT3" i="1"/>
  <c r="CU3" i="1"/>
  <c r="CV3" i="1"/>
  <c r="CW3" i="1"/>
  <c r="CX3" i="1"/>
  <c r="AK4" i="1"/>
  <c r="AL4" i="1"/>
  <c r="AH4" i="1"/>
  <c r="AI6" i="1"/>
  <c r="AJ6" i="1"/>
  <c r="AK6" i="1"/>
  <c r="AL6" i="1"/>
  <c r="CL7" i="1"/>
  <c r="CM7" i="1" s="1"/>
  <c r="CM8" i="1" s="1"/>
  <c r="CM9" i="1" s="1"/>
  <c r="AH6" i="1"/>
  <c r="AI11" i="1"/>
  <c r="AJ11" i="1"/>
  <c r="AK11" i="1"/>
  <c r="AL11" i="1"/>
  <c r="AM11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T16" i="1"/>
  <c r="P16" i="1"/>
  <c r="U16" i="1"/>
  <c r="U22" i="1" s="1"/>
  <c r="U55" i="1" s="1"/>
  <c r="Q16" i="1"/>
  <c r="Q22" i="1" s="1"/>
  <c r="Q55" i="1" s="1"/>
  <c r="V16" i="1"/>
  <c r="R16" i="1"/>
  <c r="W16" i="1"/>
  <c r="W129" i="1" s="1"/>
  <c r="X16" i="1"/>
  <c r="Y16" i="1"/>
  <c r="Y22" i="1" s="1"/>
  <c r="Y55" i="1" s="1"/>
  <c r="Z16" i="1"/>
  <c r="Z27" i="1" s="1"/>
  <c r="AA16" i="1"/>
  <c r="AA22" i="1" s="1"/>
  <c r="AA55" i="1" s="1"/>
  <c r="AB16" i="1"/>
  <c r="AC16" i="1"/>
  <c r="AC27" i="1" s="1"/>
  <c r="AD4" i="1"/>
  <c r="AD5" i="1" s="1"/>
  <c r="P44" i="7" s="1"/>
  <c r="AE4" i="1"/>
  <c r="AF16" i="1" s="1"/>
  <c r="AG4" i="1"/>
  <c r="Q88" i="5"/>
  <c r="AK132" i="1"/>
  <c r="AL132" i="1"/>
  <c r="CW132" i="1" s="1"/>
  <c r="Q156" i="5"/>
  <c r="M158" i="5"/>
  <c r="M160" i="5"/>
  <c r="N160" i="5" s="1"/>
  <c r="O160" i="5" s="1"/>
  <c r="P160" i="5" s="1"/>
  <c r="Q160" i="5" s="1"/>
  <c r="R160" i="5" s="1"/>
  <c r="S160" i="5" s="1"/>
  <c r="T160" i="5" s="1"/>
  <c r="U160" i="5" s="1"/>
  <c r="V160" i="5" s="1"/>
  <c r="W160" i="5" s="1"/>
  <c r="X160" i="5" s="1"/>
  <c r="Y160" i="5" s="1"/>
  <c r="Z160" i="5" s="1"/>
  <c r="AA160" i="5" s="1"/>
  <c r="M162" i="5"/>
  <c r="N162" i="5" s="1"/>
  <c r="O162" i="5"/>
  <c r="P162" i="5" s="1"/>
  <c r="Q162" i="5" s="1"/>
  <c r="R162" i="5" s="1"/>
  <c r="S162" i="5" s="1"/>
  <c r="T162" i="5" s="1"/>
  <c r="U162" i="5" s="1"/>
  <c r="V162" i="5" s="1"/>
  <c r="W162" i="5" s="1"/>
  <c r="X162" i="5" s="1"/>
  <c r="Y162" i="5" s="1"/>
  <c r="Z162" i="5" s="1"/>
  <c r="AA162" i="5" s="1"/>
  <c r="AI133" i="1"/>
  <c r="AI134" i="1" s="1"/>
  <c r="AK133" i="1"/>
  <c r="CV133" i="1" s="1"/>
  <c r="AL133" i="1"/>
  <c r="CW133" i="1" s="1"/>
  <c r="Q133" i="5"/>
  <c r="Q131" i="9"/>
  <c r="Q184" i="9"/>
  <c r="Q11" i="9" s="1"/>
  <c r="Q124" i="5"/>
  <c r="AI144" i="1"/>
  <c r="AI140" i="1" s="1"/>
  <c r="AJ140" i="1"/>
  <c r="AK149" i="1"/>
  <c r="AL149" i="1"/>
  <c r="N136" i="9"/>
  <c r="M125" i="9"/>
  <c r="N125" i="9"/>
  <c r="O124" i="9" s="1"/>
  <c r="Q99" i="9"/>
  <c r="J93" i="9"/>
  <c r="K93" i="9" s="1"/>
  <c r="K100" i="9" s="1"/>
  <c r="Q101" i="9"/>
  <c r="P65" i="9"/>
  <c r="P72" i="9"/>
  <c r="H44" i="9"/>
  <c r="I44" i="9" s="1"/>
  <c r="J44" i="9" s="1"/>
  <c r="K44" i="9" s="1"/>
  <c r="L44" i="9" s="1"/>
  <c r="M44" i="9" s="1"/>
  <c r="N85" i="9"/>
  <c r="N99" i="9"/>
  <c r="N86" i="9"/>
  <c r="N87" i="9"/>
  <c r="N94" i="9"/>
  <c r="N101" i="9" s="1"/>
  <c r="N109" i="9" s="1"/>
  <c r="N158" i="9" s="1"/>
  <c r="R101" i="9"/>
  <c r="J139" i="9"/>
  <c r="J136" i="9"/>
  <c r="Q28" i="9"/>
  <c r="Q219" i="5" s="1"/>
  <c r="N161" i="9"/>
  <c r="Q30" i="9"/>
  <c r="AI150" i="1"/>
  <c r="AI162" i="1" s="1"/>
  <c r="AI109" i="1"/>
  <c r="AK109" i="1"/>
  <c r="AL109" i="1"/>
  <c r="Q147" i="5"/>
  <c r="Q230" i="5" s="1"/>
  <c r="Q394" i="5" s="1"/>
  <c r="AE92" i="1"/>
  <c r="AE93" i="1"/>
  <c r="AE97" i="1" s="1"/>
  <c r="G517" i="7" s="1"/>
  <c r="AF93" i="1"/>
  <c r="AG93" i="1"/>
  <c r="AG97" i="1" s="1"/>
  <c r="I517" i="7" s="1"/>
  <c r="AH93" i="1"/>
  <c r="AH97" i="1" s="1"/>
  <c r="AI93" i="1"/>
  <c r="AI97" i="1" s="1"/>
  <c r="AK93" i="1"/>
  <c r="AK94" i="1" s="1"/>
  <c r="AL93" i="1"/>
  <c r="AL94" i="1" s="1"/>
  <c r="S317" i="5"/>
  <c r="R329" i="5"/>
  <c r="W13" i="8"/>
  <c r="R88" i="5"/>
  <c r="F707" i="7" s="1"/>
  <c r="R131" i="9"/>
  <c r="R26" i="9" s="1"/>
  <c r="Q125" i="9"/>
  <c r="S131" i="9"/>
  <c r="S184" i="9" s="1"/>
  <c r="S11" i="9" s="1"/>
  <c r="S39" i="9" s="1"/>
  <c r="Y21" i="8"/>
  <c r="R318" i="5"/>
  <c r="Q318" i="5"/>
  <c r="R142" i="5"/>
  <c r="S140" i="5"/>
  <c r="AM286" i="1"/>
  <c r="AM296" i="1" s="1"/>
  <c r="AM298" i="1" s="1"/>
  <c r="AK105" i="1"/>
  <c r="AM202" i="1"/>
  <c r="AM144" i="1"/>
  <c r="AM166" i="1"/>
  <c r="AM175" i="1" s="1"/>
  <c r="AM105" i="1"/>
  <c r="AI105" i="1"/>
  <c r="AI106" i="1" s="1"/>
  <c r="AI124" i="1" s="1"/>
  <c r="AI155" i="1" s="1"/>
  <c r="AM170" i="1"/>
  <c r="X43" i="7"/>
  <c r="Y43" i="7"/>
  <c r="X46" i="7"/>
  <c r="Y46" i="7"/>
  <c r="X47" i="7"/>
  <c r="Y47" i="7"/>
  <c r="CW25" i="1"/>
  <c r="X51" i="7" s="1"/>
  <c r="CX25" i="1"/>
  <c r="Y51" i="7" s="1"/>
  <c r="X56" i="7"/>
  <c r="Y56" i="7"/>
  <c r="AI191" i="1"/>
  <c r="AM133" i="1"/>
  <c r="F213" i="1" s="1"/>
  <c r="AI286" i="1"/>
  <c r="AI207" i="1"/>
  <c r="AM207" i="1"/>
  <c r="AM109" i="1"/>
  <c r="AM93" i="1"/>
  <c r="AM94" i="1" s="1"/>
  <c r="AM63" i="1"/>
  <c r="CX63" i="1" s="1"/>
  <c r="AL63" i="1"/>
  <c r="CW63" i="1" s="1"/>
  <c r="AK63" i="1"/>
  <c r="CV63" i="1" s="1"/>
  <c r="AM54" i="1"/>
  <c r="AM26" i="1"/>
  <c r="M128" i="3"/>
  <c r="M127" i="3"/>
  <c r="M126" i="3"/>
  <c r="C62" i="11"/>
  <c r="C67" i="11"/>
  <c r="C56" i="11"/>
  <c r="D2110" i="2"/>
  <c r="E2110" i="2" s="1"/>
  <c r="E2111" i="2" s="1"/>
  <c r="D2108" i="2"/>
  <c r="D2109" i="2" s="1"/>
  <c r="C2111" i="2"/>
  <c r="E2109" i="2"/>
  <c r="C2107" i="2"/>
  <c r="C2109" i="2" s="1"/>
  <c r="D2106" i="2"/>
  <c r="C2106" i="2" s="1"/>
  <c r="C2105" i="2"/>
  <c r="L1989" i="2"/>
  <c r="M1982" i="2"/>
  <c r="L1982" i="2"/>
  <c r="E1968" i="2"/>
  <c r="F1968" i="2" s="1"/>
  <c r="J1949" i="2"/>
  <c r="AC133" i="1"/>
  <c r="F1815" i="2"/>
  <c r="L1644" i="2"/>
  <c r="K1644" i="2"/>
  <c r="J1644" i="2"/>
  <c r="I1644" i="2"/>
  <c r="D1514" i="2"/>
  <c r="D1515" i="2"/>
  <c r="C1516" i="2"/>
  <c r="D1481" i="2"/>
  <c r="G956" i="7"/>
  <c r="F956" i="7"/>
  <c r="E956" i="7"/>
  <c r="D956" i="7"/>
  <c r="C956" i="7"/>
  <c r="D905" i="7"/>
  <c r="AF164" i="1"/>
  <c r="AG164" i="1" s="1"/>
  <c r="AE133" i="1"/>
  <c r="P221" i="5" s="1"/>
  <c r="P131" i="9"/>
  <c r="P26" i="9" s="1"/>
  <c r="AB164" i="1"/>
  <c r="O133" i="5"/>
  <c r="X164" i="1"/>
  <c r="Y164" i="1" s="1"/>
  <c r="X165" i="1"/>
  <c r="X123" i="1"/>
  <c r="X105" i="1"/>
  <c r="X125" i="1"/>
  <c r="X127" i="1"/>
  <c r="N133" i="5"/>
  <c r="T164" i="1"/>
  <c r="T165" i="1"/>
  <c r="U165" i="1" s="1"/>
  <c r="S123" i="1"/>
  <c r="S105" i="1"/>
  <c r="S106" i="1" s="1"/>
  <c r="S124" i="1" s="1"/>
  <c r="S125" i="1"/>
  <c r="S112" i="1"/>
  <c r="T123" i="1"/>
  <c r="T105" i="1"/>
  <c r="T106" i="1" s="1"/>
  <c r="T124" i="1" s="1"/>
  <c r="T125" i="1"/>
  <c r="T127" i="1"/>
  <c r="U123" i="1"/>
  <c r="U105" i="1"/>
  <c r="U106" i="1" s="1"/>
  <c r="U107" i="1" s="1"/>
  <c r="U125" i="1"/>
  <c r="U127" i="1"/>
  <c r="V123" i="1"/>
  <c r="V105" i="1"/>
  <c r="V125" i="1"/>
  <c r="V127" i="1"/>
  <c r="S92" i="1"/>
  <c r="CH92" i="1" s="1"/>
  <c r="AE150" i="1"/>
  <c r="AH210" i="1" s="1"/>
  <c r="AE142" i="1"/>
  <c r="AF145" i="1"/>
  <c r="AF142" i="1"/>
  <c r="AF162" i="1" s="1"/>
  <c r="AG142" i="1"/>
  <c r="AH142" i="1"/>
  <c r="AH162" i="1" s="1"/>
  <c r="AF109" i="1"/>
  <c r="AG109" i="1"/>
  <c r="AH109" i="1"/>
  <c r="P147" i="5"/>
  <c r="P30" i="9"/>
  <c r="P124" i="5"/>
  <c r="P156" i="5"/>
  <c r="P188" i="5"/>
  <c r="L137" i="5"/>
  <c r="L252" i="5"/>
  <c r="D210" i="7" s="1"/>
  <c r="L255" i="5"/>
  <c r="L288" i="5" s="1"/>
  <c r="AB142" i="1"/>
  <c r="AB152" i="1" s="1"/>
  <c r="AB131" i="1"/>
  <c r="AB147" i="1" s="1"/>
  <c r="AB148" i="1" s="1"/>
  <c r="AC145" i="1"/>
  <c r="CN145" i="1" s="1"/>
  <c r="AC142" i="1"/>
  <c r="AC128" i="1"/>
  <c r="AC150" i="1"/>
  <c r="CN150" i="1" s="1"/>
  <c r="AD145" i="1"/>
  <c r="CS145" i="1" s="1"/>
  <c r="AD144" i="1"/>
  <c r="AA109" i="1"/>
  <c r="AB109" i="1"/>
  <c r="AC109" i="1"/>
  <c r="AD109" i="1"/>
  <c r="AA150" i="1"/>
  <c r="AA158" i="1" s="1"/>
  <c r="C518" i="7" s="1"/>
  <c r="O147" i="5"/>
  <c r="O231" i="5"/>
  <c r="O279" i="5" s="1"/>
  <c r="O124" i="5"/>
  <c r="O156" i="5"/>
  <c r="O188" i="5"/>
  <c r="K255" i="5"/>
  <c r="K252" i="5"/>
  <c r="C211" i="7" s="1"/>
  <c r="X140" i="1"/>
  <c r="X88" i="1" s="1"/>
  <c r="Y140" i="1"/>
  <c r="Y88" i="1" s="1"/>
  <c r="CJ88" i="1" s="1"/>
  <c r="Z145" i="1"/>
  <c r="Z150" i="1"/>
  <c r="Z131" i="1"/>
  <c r="W109" i="1"/>
  <c r="CH109" i="1" s="1"/>
  <c r="X109" i="1"/>
  <c r="CI109" i="1" s="1"/>
  <c r="Y109" i="1"/>
  <c r="CJ109" i="1" s="1"/>
  <c r="Z109" i="1"/>
  <c r="CK109" i="1" s="1"/>
  <c r="X145" i="1"/>
  <c r="E536" i="7" s="1"/>
  <c r="E554" i="7" s="1"/>
  <c r="N147" i="5"/>
  <c r="N230" i="5" s="1"/>
  <c r="N394" i="5" s="1"/>
  <c r="N156" i="5"/>
  <c r="N168" i="5"/>
  <c r="O169" i="5" s="1"/>
  <c r="N170" i="5"/>
  <c r="O171" i="5" s="1"/>
  <c r="N172" i="5"/>
  <c r="O173" i="5" s="1"/>
  <c r="W105" i="1"/>
  <c r="Y105" i="1"/>
  <c r="Y106" i="1" s="1"/>
  <c r="Z105" i="1"/>
  <c r="Z106" i="1" s="1"/>
  <c r="Z124" i="1" s="1"/>
  <c r="Z155" i="1" s="1"/>
  <c r="J255" i="5"/>
  <c r="E832" i="7"/>
  <c r="F832" i="7" s="1"/>
  <c r="G832" i="7" s="1"/>
  <c r="H832" i="7" s="1"/>
  <c r="I832" i="7" s="1"/>
  <c r="J832" i="7" s="1"/>
  <c r="K832" i="7" s="1"/>
  <c r="AJ122" i="1"/>
  <c r="L815" i="7" s="1"/>
  <c r="L826" i="7" s="1"/>
  <c r="AI122" i="1"/>
  <c r="K815" i="7" s="1"/>
  <c r="K826" i="7" s="1"/>
  <c r="AH122" i="1"/>
  <c r="J815" i="7" s="1"/>
  <c r="J826" i="7" s="1"/>
  <c r="AG122" i="1"/>
  <c r="AF122" i="1"/>
  <c r="H511" i="7" s="1"/>
  <c r="AE122" i="1"/>
  <c r="G511" i="7" s="1"/>
  <c r="AD122" i="1"/>
  <c r="AC122" i="1"/>
  <c r="J529" i="7" s="1"/>
  <c r="J553" i="7" s="1"/>
  <c r="J547" i="7" s="1"/>
  <c r="AB122" i="1"/>
  <c r="AA122" i="1"/>
  <c r="AG137" i="1"/>
  <c r="I816" i="7" s="1"/>
  <c r="AF137" i="1"/>
  <c r="H816" i="7" s="1"/>
  <c r="AH137" i="1"/>
  <c r="J816" i="7" s="1"/>
  <c r="AD137" i="1"/>
  <c r="AD152" i="1"/>
  <c r="F818" i="7" s="1"/>
  <c r="AC125" i="1"/>
  <c r="AB125" i="1"/>
  <c r="AA125" i="1"/>
  <c r="AA142" i="1"/>
  <c r="AA144" i="1" s="1"/>
  <c r="AA140" i="1" s="1"/>
  <c r="AK122" i="1"/>
  <c r="M815" i="7" s="1"/>
  <c r="H804" i="7"/>
  <c r="G804" i="7"/>
  <c r="F804" i="7"/>
  <c r="E804" i="7"/>
  <c r="D804" i="7"/>
  <c r="C804" i="7"/>
  <c r="P28" i="9"/>
  <c r="P219" i="5" s="1"/>
  <c r="D789" i="7"/>
  <c r="E789" i="7" s="1"/>
  <c r="F789" i="7" s="1"/>
  <c r="G789" i="7" s="1"/>
  <c r="H789" i="7" s="1"/>
  <c r="D784" i="7"/>
  <c r="C776" i="7"/>
  <c r="C777" i="7" s="1"/>
  <c r="C772" i="7"/>
  <c r="AE105" i="1"/>
  <c r="AA105" i="1"/>
  <c r="AD105" i="1"/>
  <c r="AC105" i="1"/>
  <c r="AC106" i="1" s="1"/>
  <c r="AC124" i="1" s="1"/>
  <c r="AB105" i="1"/>
  <c r="AB106" i="1" s="1"/>
  <c r="AB124" i="1" s="1"/>
  <c r="AB155" i="1" s="1"/>
  <c r="D513" i="7" s="1"/>
  <c r="B767" i="7"/>
  <c r="B766" i="7"/>
  <c r="CP104" i="1"/>
  <c r="L765" i="7" s="1"/>
  <c r="B765" i="7"/>
  <c r="CP103" i="1"/>
  <c r="L764" i="7" s="1"/>
  <c r="CO103" i="1"/>
  <c r="J764" i="7" s="1"/>
  <c r="CN103" i="1"/>
  <c r="I764" i="7" s="1"/>
  <c r="CM103" i="1"/>
  <c r="H764" i="7" s="1"/>
  <c r="CL103" i="1"/>
  <c r="G764" i="7" s="1"/>
  <c r="CK103" i="1"/>
  <c r="F764" i="7" s="1"/>
  <c r="CJ103" i="1"/>
  <c r="E764" i="7" s="1"/>
  <c r="CI103" i="1"/>
  <c r="D764" i="7" s="1"/>
  <c r="CH103" i="1"/>
  <c r="C764" i="7" s="1"/>
  <c r="B764" i="7"/>
  <c r="CP102" i="1"/>
  <c r="L763" i="7" s="1"/>
  <c r="CO102" i="1"/>
  <c r="J763" i="7" s="1"/>
  <c r="CN102" i="1"/>
  <c r="I763" i="7" s="1"/>
  <c r="CM102" i="1"/>
  <c r="H763" i="7" s="1"/>
  <c r="CL102" i="1"/>
  <c r="G763" i="7" s="1"/>
  <c r="CK102" i="1"/>
  <c r="F763" i="7" s="1"/>
  <c r="CJ102" i="1"/>
  <c r="E763" i="7" s="1"/>
  <c r="CI102" i="1"/>
  <c r="D763" i="7" s="1"/>
  <c r="CH102" i="1"/>
  <c r="C763" i="7" s="1"/>
  <c r="B763" i="7"/>
  <c r="CP101" i="1"/>
  <c r="L762" i="7" s="1"/>
  <c r="CO101" i="1"/>
  <c r="J762" i="7" s="1"/>
  <c r="CN101" i="1"/>
  <c r="I762" i="7" s="1"/>
  <c r="CM101" i="1"/>
  <c r="H762" i="7" s="1"/>
  <c r="CL101" i="1"/>
  <c r="G762" i="7" s="1"/>
  <c r="CK101" i="1"/>
  <c r="F762" i="7" s="1"/>
  <c r="CJ101" i="1"/>
  <c r="E762" i="7" s="1"/>
  <c r="CI101" i="1"/>
  <c r="D762" i="7" s="1"/>
  <c r="CH101" i="1"/>
  <c r="C762" i="7" s="1"/>
  <c r="B762" i="7"/>
  <c r="CP100" i="1"/>
  <c r="L761" i="7" s="1"/>
  <c r="CO100" i="1"/>
  <c r="J761" i="7" s="1"/>
  <c r="CN100" i="1"/>
  <c r="I761" i="7" s="1"/>
  <c r="CM100" i="1"/>
  <c r="H761" i="7" s="1"/>
  <c r="CL100" i="1"/>
  <c r="G761" i="7" s="1"/>
  <c r="CK100" i="1"/>
  <c r="F761" i="7" s="1"/>
  <c r="CJ100" i="1"/>
  <c r="E761" i="7" s="1"/>
  <c r="CI100" i="1"/>
  <c r="D761" i="7" s="1"/>
  <c r="CH100" i="1"/>
  <c r="C761" i="7" s="1"/>
  <c r="B761" i="7"/>
  <c r="B760" i="7"/>
  <c r="O125" i="9"/>
  <c r="N4" i="9"/>
  <c r="N139" i="9"/>
  <c r="N143" i="9" s="1"/>
  <c r="O99" i="9"/>
  <c r="O101" i="9"/>
  <c r="O65" i="9"/>
  <c r="N65" i="9"/>
  <c r="N72" i="9" s="1"/>
  <c r="N7" i="9"/>
  <c r="N11" i="9"/>
  <c r="M7" i="9"/>
  <c r="M11" i="9"/>
  <c r="M4" i="9"/>
  <c r="M37" i="9" s="1"/>
  <c r="L7" i="9"/>
  <c r="L11" i="9"/>
  <c r="L4" i="9"/>
  <c r="L202" i="9" s="1"/>
  <c r="B755" i="7"/>
  <c r="K7" i="9"/>
  <c r="K11" i="9"/>
  <c r="B754" i="7"/>
  <c r="B753" i="7"/>
  <c r="O131" i="9"/>
  <c r="O26" i="9" s="1"/>
  <c r="B748" i="7"/>
  <c r="B747" i="7"/>
  <c r="B746" i="7"/>
  <c r="B743" i="7"/>
  <c r="B742" i="7"/>
  <c r="B741" i="7"/>
  <c r="K4" i="9"/>
  <c r="K37" i="9" s="1"/>
  <c r="B739" i="7"/>
  <c r="B738" i="7"/>
  <c r="D2" i="9"/>
  <c r="P116" i="5"/>
  <c r="O116" i="5"/>
  <c r="J5" i="7" s="1"/>
  <c r="O137" i="5"/>
  <c r="O218" i="5" s="1"/>
  <c r="O219" i="5"/>
  <c r="W123" i="1"/>
  <c r="W154" i="1" s="1"/>
  <c r="Y123" i="1"/>
  <c r="CN123" i="1" s="1"/>
  <c r="N137" i="5"/>
  <c r="N218" i="5" s="1"/>
  <c r="Q133" i="8" s="1"/>
  <c r="D722" i="7"/>
  <c r="E722" i="7" s="1"/>
  <c r="F722" i="7" s="1"/>
  <c r="G722" i="7" s="1"/>
  <c r="H722" i="7" s="1"/>
  <c r="N222" i="9"/>
  <c r="N223" i="9" s="1"/>
  <c r="N226" i="9"/>
  <c r="C715" i="7"/>
  <c r="G709" i="7"/>
  <c r="F709" i="7"/>
  <c r="E709" i="7"/>
  <c r="D709" i="7"/>
  <c r="C707" i="7"/>
  <c r="C705" i="7" s="1"/>
  <c r="C706" i="7" s="1"/>
  <c r="G708" i="7"/>
  <c r="F708" i="7"/>
  <c r="E708" i="7"/>
  <c r="D706" i="7"/>
  <c r="E706" i="7" s="1"/>
  <c r="F706" i="7" s="1"/>
  <c r="G706" i="7" s="1"/>
  <c r="D704" i="7"/>
  <c r="E704" i="7" s="1"/>
  <c r="F704" i="7" s="1"/>
  <c r="G704" i="7" s="1"/>
  <c r="I592" i="7"/>
  <c r="G592" i="7"/>
  <c r="F592" i="7"/>
  <c r="E592" i="7"/>
  <c r="D592" i="7"/>
  <c r="C592" i="7"/>
  <c r="C576" i="7"/>
  <c r="D576" i="7" s="1"/>
  <c r="E576" i="7" s="1"/>
  <c r="D572" i="7"/>
  <c r="G567" i="7"/>
  <c r="J560" i="7"/>
  <c r="I560" i="7"/>
  <c r="H560" i="7"/>
  <c r="G560" i="7"/>
  <c r="J550" i="7"/>
  <c r="I536" i="7"/>
  <c r="I542" i="7" s="1"/>
  <c r="I550" i="7"/>
  <c r="H536" i="7"/>
  <c r="H542" i="7" s="1"/>
  <c r="H550" i="7"/>
  <c r="F550" i="7"/>
  <c r="F556" i="7"/>
  <c r="E550" i="7"/>
  <c r="E556" i="7"/>
  <c r="D550" i="7"/>
  <c r="D556" i="7"/>
  <c r="I540" i="7"/>
  <c r="I555" i="7" s="1"/>
  <c r="F536" i="7"/>
  <c r="F554" i="7" s="1"/>
  <c r="D536" i="7"/>
  <c r="D554" i="7" s="1"/>
  <c r="C536" i="7"/>
  <c r="C554" i="7" s="1"/>
  <c r="Z122" i="1"/>
  <c r="G529" i="7" s="1"/>
  <c r="L529" i="7" s="1"/>
  <c r="Y122" i="1"/>
  <c r="F529" i="7" s="1"/>
  <c r="F553" i="7" s="1"/>
  <c r="F547" i="7" s="1"/>
  <c r="X122" i="1"/>
  <c r="E529" i="7" s="1"/>
  <c r="E553" i="7" s="1"/>
  <c r="E547" i="7" s="1"/>
  <c r="W122" i="1"/>
  <c r="D529" i="7" s="1"/>
  <c r="D553" i="7" s="1"/>
  <c r="D547" i="7" s="1"/>
  <c r="V122" i="1"/>
  <c r="C529" i="7" s="1"/>
  <c r="C553" i="7" s="1"/>
  <c r="C547" i="7" s="1"/>
  <c r="I532" i="7"/>
  <c r="I549" i="7" s="1"/>
  <c r="H532" i="7"/>
  <c r="H549" i="7" s="1"/>
  <c r="F530" i="7"/>
  <c r="F548" i="7" s="1"/>
  <c r="D530" i="7"/>
  <c r="G532" i="7"/>
  <c r="G549" i="7" s="1"/>
  <c r="G530" i="7"/>
  <c r="G548" i="7" s="1"/>
  <c r="L542" i="7"/>
  <c r="J537" i="7"/>
  <c r="J539" i="7" s="1"/>
  <c r="I537" i="7"/>
  <c r="I539" i="7" s="1"/>
  <c r="H537" i="7"/>
  <c r="H539" i="7" s="1"/>
  <c r="G537" i="7"/>
  <c r="O534" i="7"/>
  <c r="N534" i="7"/>
  <c r="M534" i="7"/>
  <c r="G525" i="7"/>
  <c r="AA166" i="1"/>
  <c r="H522" i="7"/>
  <c r="H524" i="7" s="1"/>
  <c r="F523" i="7"/>
  <c r="AG151" i="1"/>
  <c r="AG134" i="1"/>
  <c r="AF151" i="1"/>
  <c r="AF134" i="1"/>
  <c r="AD151" i="1"/>
  <c r="AD134" i="1"/>
  <c r="AB151" i="1"/>
  <c r="AB134" i="1"/>
  <c r="AA134" i="1"/>
  <c r="AG158" i="1"/>
  <c r="I518" i="7" s="1"/>
  <c r="AF158" i="1"/>
  <c r="H518" i="7" s="1"/>
  <c r="AD158" i="1"/>
  <c r="F518" i="7" s="1"/>
  <c r="AB158" i="1"/>
  <c r="D518" i="7" s="1"/>
  <c r="AD97" i="1"/>
  <c r="F517" i="7" s="1"/>
  <c r="AC97" i="1"/>
  <c r="E517" i="7" s="1"/>
  <c r="AB97" i="1"/>
  <c r="D517" i="7" s="1"/>
  <c r="AA97" i="1"/>
  <c r="C517" i="7" s="1"/>
  <c r="I516" i="7"/>
  <c r="H516" i="7"/>
  <c r="G516" i="7"/>
  <c r="F516" i="7"/>
  <c r="E516" i="7"/>
  <c r="AG105" i="1"/>
  <c r="AG106" i="1" s="1"/>
  <c r="AG124" i="1" s="1"/>
  <c r="AF105" i="1"/>
  <c r="AA157" i="1"/>
  <c r="C512" i="7" s="1"/>
  <c r="I498" i="7"/>
  <c r="J498" i="7" s="1"/>
  <c r="K498" i="7" s="1"/>
  <c r="L498" i="7" s="1"/>
  <c r="M498" i="7" s="1"/>
  <c r="G499" i="7"/>
  <c r="H499" i="7" s="1"/>
  <c r="I499" i="7" s="1"/>
  <c r="J499" i="7" s="1"/>
  <c r="K499" i="7" s="1"/>
  <c r="L499" i="7" s="1"/>
  <c r="M499" i="7" s="1"/>
  <c r="P125" i="9"/>
  <c r="Q124" i="9" s="1"/>
  <c r="M136" i="9"/>
  <c r="N137" i="9" s="1"/>
  <c r="M139" i="9"/>
  <c r="B507" i="7"/>
  <c r="B506" i="7"/>
  <c r="B505" i="7"/>
  <c r="B504" i="7"/>
  <c r="D495" i="7"/>
  <c r="E495" i="7" s="1"/>
  <c r="E503" i="7" s="1"/>
  <c r="C503" i="7"/>
  <c r="M497" i="7"/>
  <c r="L458" i="7"/>
  <c r="J458" i="7"/>
  <c r="I458" i="7"/>
  <c r="H458" i="7"/>
  <c r="G458" i="7"/>
  <c r="F458" i="7"/>
  <c r="E458" i="7"/>
  <c r="D458" i="7"/>
  <c r="C458" i="7"/>
  <c r="CL128" i="1"/>
  <c r="L457" i="7" s="1"/>
  <c r="R123" i="1"/>
  <c r="R105" i="1"/>
  <c r="R106" i="1" s="1"/>
  <c r="R125" i="1"/>
  <c r="R127" i="1"/>
  <c r="Q123" i="1"/>
  <c r="Q105" i="1"/>
  <c r="Q125" i="1"/>
  <c r="Q127" i="1"/>
  <c r="P123" i="1"/>
  <c r="P105" i="1"/>
  <c r="P106" i="1" s="1"/>
  <c r="P125" i="1"/>
  <c r="P127" i="1"/>
  <c r="O123" i="1"/>
  <c r="O105" i="1"/>
  <c r="O125" i="1"/>
  <c r="O112" i="1"/>
  <c r="O127" i="1" s="1"/>
  <c r="L450" i="7"/>
  <c r="L456" i="7" s="1"/>
  <c r="J450" i="7"/>
  <c r="J456" i="7" s="1"/>
  <c r="I450" i="7"/>
  <c r="I456" i="7" s="1"/>
  <c r="H450" i="7"/>
  <c r="H456" i="7" s="1"/>
  <c r="G450" i="7"/>
  <c r="G456" i="7" s="1"/>
  <c r="F450" i="7"/>
  <c r="F456" i="7" s="1"/>
  <c r="E450" i="7"/>
  <c r="E456" i="7" s="1"/>
  <c r="D450" i="7"/>
  <c r="D456" i="7" s="1"/>
  <c r="C450" i="7"/>
  <c r="C456" i="7" s="1"/>
  <c r="AA5" i="1"/>
  <c r="M44" i="7" s="1"/>
  <c r="AA6" i="1"/>
  <c r="Z6" i="1"/>
  <c r="Z9" i="1" s="1"/>
  <c r="Z5" i="1"/>
  <c r="Y6" i="1"/>
  <c r="Y5" i="1"/>
  <c r="X6" i="1"/>
  <c r="X9" i="1" s="1"/>
  <c r="X5" i="1"/>
  <c r="H451" i="7" s="1"/>
  <c r="W6" i="1"/>
  <c r="W5" i="1"/>
  <c r="G451" i="7" s="1"/>
  <c r="V6" i="1"/>
  <c r="V9" i="1" s="1"/>
  <c r="V5" i="1"/>
  <c r="U6" i="1"/>
  <c r="U10" i="1" s="1"/>
  <c r="E452" i="7" s="1"/>
  <c r="U5" i="1"/>
  <c r="T5" i="1"/>
  <c r="D451" i="7" s="1"/>
  <c r="T10" i="1"/>
  <c r="D452" i="7" s="1"/>
  <c r="S5" i="1"/>
  <c r="S10" i="1"/>
  <c r="C452" i="7" s="1"/>
  <c r="C444" i="7"/>
  <c r="E439" i="7"/>
  <c r="C446" i="7" s="1"/>
  <c r="F445" i="7"/>
  <c r="Y120" i="1"/>
  <c r="CN120" i="1" s="1"/>
  <c r="W120" i="1"/>
  <c r="CJ184" i="1"/>
  <c r="N440" i="7" s="1"/>
  <c r="CI184" i="1"/>
  <c r="M440" i="7" s="1"/>
  <c r="CH184" i="1"/>
  <c r="L440" i="7" s="1"/>
  <c r="CG184" i="1"/>
  <c r="J440" i="7" s="1"/>
  <c r="CF184" i="1"/>
  <c r="I440" i="7" s="1"/>
  <c r="Y183" i="1"/>
  <c r="G438" i="7" s="1"/>
  <c r="W183" i="1"/>
  <c r="E438" i="7" s="1"/>
  <c r="CH165" i="1"/>
  <c r="L439" i="7" s="1"/>
  <c r="P165" i="1"/>
  <c r="Q165" i="1" s="1"/>
  <c r="R165" i="1" s="1"/>
  <c r="CC165" i="1" s="1"/>
  <c r="N123" i="1"/>
  <c r="N105" i="1"/>
  <c r="N106" i="1" s="1"/>
  <c r="N124" i="1" s="1"/>
  <c r="N125" i="1"/>
  <c r="N127" i="1"/>
  <c r="Y125" i="1"/>
  <c r="W125" i="1"/>
  <c r="B434" i="7"/>
  <c r="B433" i="7"/>
  <c r="E405" i="7"/>
  <c r="F405" i="7" s="1"/>
  <c r="G405" i="7" s="1"/>
  <c r="H405" i="7" s="1"/>
  <c r="I405" i="7" s="1"/>
  <c r="G369" i="7"/>
  <c r="G381" i="7"/>
  <c r="F369" i="7"/>
  <c r="F381" i="7"/>
  <c r="F382" i="7" s="1"/>
  <c r="E369" i="7"/>
  <c r="E379" i="7"/>
  <c r="E381" i="7" s="1"/>
  <c r="E382" i="7" s="1"/>
  <c r="D369" i="7"/>
  <c r="D382" i="7"/>
  <c r="C369" i="7"/>
  <c r="C382" i="7"/>
  <c r="D295" i="7"/>
  <c r="D292" i="7" s="1"/>
  <c r="C295" i="7"/>
  <c r="C291" i="7" s="1"/>
  <c r="G385" i="7"/>
  <c r="H385" i="7" s="1"/>
  <c r="I385" i="7" s="1"/>
  <c r="J385" i="7" s="1"/>
  <c r="L385" i="7" s="1"/>
  <c r="J381" i="7"/>
  <c r="J382" i="7" s="1"/>
  <c r="I382" i="7"/>
  <c r="H382" i="7"/>
  <c r="I378" i="7"/>
  <c r="H378" i="7"/>
  <c r="F373" i="7"/>
  <c r="I372" i="7"/>
  <c r="H372" i="7"/>
  <c r="G372" i="7"/>
  <c r="F372" i="7"/>
  <c r="H369" i="7"/>
  <c r="H370" i="7" s="1"/>
  <c r="G367" i="7"/>
  <c r="F367" i="7"/>
  <c r="E367" i="7"/>
  <c r="D367" i="7"/>
  <c r="I365" i="7"/>
  <c r="H365" i="7"/>
  <c r="G361" i="7"/>
  <c r="G365" i="7" s="1"/>
  <c r="F365" i="7"/>
  <c r="D355" i="7"/>
  <c r="C355" i="7"/>
  <c r="C354" i="7"/>
  <c r="D343" i="7"/>
  <c r="E343" i="7" s="1"/>
  <c r="D353" i="7"/>
  <c r="K4" i="6"/>
  <c r="K8" i="6" s="1"/>
  <c r="J4" i="6"/>
  <c r="J8" i="6" s="1"/>
  <c r="P318" i="5"/>
  <c r="Q309" i="5" s="1"/>
  <c r="I4" i="6"/>
  <c r="I8" i="6" s="1"/>
  <c r="I7" i="6" s="1"/>
  <c r="O317" i="5"/>
  <c r="H4" i="6"/>
  <c r="H8" i="6" s="1"/>
  <c r="N318" i="5"/>
  <c r="N315" i="5" s="1"/>
  <c r="Q13" i="8" s="1"/>
  <c r="N293" i="5"/>
  <c r="N298" i="5"/>
  <c r="N286" i="5"/>
  <c r="Q20" i="8" s="1"/>
  <c r="W188" i="1"/>
  <c r="W190" i="1" s="1"/>
  <c r="W194" i="1" s="1"/>
  <c r="Y188" i="1"/>
  <c r="M318" i="5"/>
  <c r="M315" i="5" s="1"/>
  <c r="L33" i="6"/>
  <c r="G344" i="7" s="1"/>
  <c r="K33" i="6"/>
  <c r="F344" i="7" s="1"/>
  <c r="J33" i="6"/>
  <c r="E344" i="7" s="1"/>
  <c r="H331" i="7"/>
  <c r="H333" i="7" s="1"/>
  <c r="G331" i="7"/>
  <c r="G333" i="7" s="1"/>
  <c r="F331" i="7"/>
  <c r="F333" i="7" s="1"/>
  <c r="E331" i="7"/>
  <c r="E333" i="7" s="1"/>
  <c r="D331" i="7"/>
  <c r="D333" i="7" s="1"/>
  <c r="H326" i="7"/>
  <c r="H327" i="7" s="1"/>
  <c r="H329" i="7" s="1"/>
  <c r="G326" i="7"/>
  <c r="G327" i="7" s="1"/>
  <c r="G329" i="7" s="1"/>
  <c r="F326" i="7"/>
  <c r="F327" i="7" s="1"/>
  <c r="F329" i="7" s="1"/>
  <c r="E326" i="7"/>
  <c r="E327" i="7" s="1"/>
  <c r="E329" i="7" s="1"/>
  <c r="D326" i="7"/>
  <c r="D327" i="7" s="1"/>
  <c r="D329" i="7" s="1"/>
  <c r="C326" i="7"/>
  <c r="C327" i="7" s="1"/>
  <c r="M233" i="5"/>
  <c r="M234" i="5" s="1"/>
  <c r="E320" i="7"/>
  <c r="F320" i="7" s="1"/>
  <c r="G320" i="7" s="1"/>
  <c r="H320" i="7" s="1"/>
  <c r="C320" i="7"/>
  <c r="D315" i="7"/>
  <c r="D316" i="7" s="1"/>
  <c r="D317" i="7" s="1"/>
  <c r="C306" i="7"/>
  <c r="C307" i="7"/>
  <c r="C308" i="7"/>
  <c r="C309" i="7"/>
  <c r="B306" i="7"/>
  <c r="F294" i="7"/>
  <c r="E294" i="7"/>
  <c r="E260" i="7"/>
  <c r="E272" i="7" s="1"/>
  <c r="D260" i="7"/>
  <c r="E284" i="7" s="1"/>
  <c r="B285" i="7"/>
  <c r="B284" i="7"/>
  <c r="B283" i="7"/>
  <c r="F279" i="7"/>
  <c r="F280" i="7"/>
  <c r="E279" i="7"/>
  <c r="E280" i="7"/>
  <c r="D279" i="7"/>
  <c r="D280" i="7"/>
  <c r="D278" i="7"/>
  <c r="E278" i="7" s="1"/>
  <c r="F278" i="7" s="1"/>
  <c r="I260" i="7"/>
  <c r="I272" i="7" s="1"/>
  <c r="I248" i="7"/>
  <c r="I251" i="7" s="1"/>
  <c r="I252" i="7" s="1"/>
  <c r="H260" i="7"/>
  <c r="H272" i="7" s="1"/>
  <c r="H248" i="7"/>
  <c r="H251" i="7" s="1"/>
  <c r="H252" i="7" s="1"/>
  <c r="G260" i="7"/>
  <c r="G272" i="7" s="1"/>
  <c r="G248" i="7"/>
  <c r="G251" i="7" s="1"/>
  <c r="G252" i="7" s="1"/>
  <c r="F260" i="7"/>
  <c r="F272" i="7" s="1"/>
  <c r="F248" i="7"/>
  <c r="F251" i="7" s="1"/>
  <c r="F252" i="7" s="1"/>
  <c r="E248" i="7"/>
  <c r="E251" i="7" s="1"/>
  <c r="E252" i="7" s="1"/>
  <c r="D248" i="7"/>
  <c r="D251" i="7" s="1"/>
  <c r="D252" i="7" s="1"/>
  <c r="C248" i="7"/>
  <c r="C251" i="7" s="1"/>
  <c r="C252" i="7" s="1"/>
  <c r="B264" i="7"/>
  <c r="B275" i="7" s="1"/>
  <c r="B261" i="7"/>
  <c r="B273" i="7" s="1"/>
  <c r="B260" i="7"/>
  <c r="B272" i="7" s="1"/>
  <c r="B259" i="7"/>
  <c r="B271" i="7" s="1"/>
  <c r="B257" i="7"/>
  <c r="B269" i="7" s="1"/>
  <c r="B255" i="7"/>
  <c r="B268" i="7" s="1"/>
  <c r="D241" i="7"/>
  <c r="C254" i="7"/>
  <c r="C267" i="7" s="1"/>
  <c r="B265" i="7"/>
  <c r="B258" i="7"/>
  <c r="I245" i="7"/>
  <c r="H245" i="7"/>
  <c r="G245" i="7"/>
  <c r="F245" i="7"/>
  <c r="E245" i="7"/>
  <c r="D245" i="7"/>
  <c r="C245" i="7"/>
  <c r="I243" i="7"/>
  <c r="H243" i="7"/>
  <c r="G243" i="7"/>
  <c r="F243" i="7"/>
  <c r="E243" i="7"/>
  <c r="D243" i="7"/>
  <c r="J238" i="7"/>
  <c r="I238" i="7"/>
  <c r="H238" i="7"/>
  <c r="G238" i="7"/>
  <c r="F238" i="7"/>
  <c r="E238" i="7"/>
  <c r="D238" i="7"/>
  <c r="C238" i="7"/>
  <c r="U89" i="1"/>
  <c r="T89" i="1"/>
  <c r="H237" i="7" s="1"/>
  <c r="S88" i="1"/>
  <c r="R89" i="1"/>
  <c r="C58" i="7" s="1"/>
  <c r="Q89" i="1"/>
  <c r="E237" i="7" s="1"/>
  <c r="P89" i="1"/>
  <c r="D237" i="7" s="1"/>
  <c r="O88" i="1"/>
  <c r="O89" i="1" s="1"/>
  <c r="C237" i="7" s="1"/>
  <c r="J236" i="7"/>
  <c r="I236" i="7"/>
  <c r="H236" i="7"/>
  <c r="G236" i="7"/>
  <c r="F236" i="7"/>
  <c r="E236" i="7"/>
  <c r="D236" i="7"/>
  <c r="C236" i="7"/>
  <c r="K383" i="5"/>
  <c r="K384" i="5" s="1"/>
  <c r="K387" i="5"/>
  <c r="S188" i="1"/>
  <c r="S190" i="1" s="1"/>
  <c r="T188" i="1"/>
  <c r="T190" i="1" s="1"/>
  <c r="U188" i="1"/>
  <c r="V189" i="1"/>
  <c r="CK189" i="1" s="1"/>
  <c r="L290" i="5"/>
  <c r="L291" i="5" s="1"/>
  <c r="F3" i="6"/>
  <c r="L281" i="5"/>
  <c r="O109" i="8"/>
  <c r="K281" i="5"/>
  <c r="M2" i="5"/>
  <c r="L43" i="5"/>
  <c r="L214" i="5" s="1"/>
  <c r="D209" i="7" s="1"/>
  <c r="K2" i="5"/>
  <c r="K43" i="5" s="1"/>
  <c r="K214" i="5" s="1"/>
  <c r="C209" i="7" s="1"/>
  <c r="E206" i="7"/>
  <c r="S83" i="1"/>
  <c r="CH83" i="1" s="1"/>
  <c r="T81" i="1"/>
  <c r="T116" i="1" s="1"/>
  <c r="U81" i="1"/>
  <c r="V81" i="1"/>
  <c r="C193" i="7"/>
  <c r="C194" i="7" s="1"/>
  <c r="E188" i="7"/>
  <c r="D192" i="7"/>
  <c r="C188" i="7"/>
  <c r="C192" i="7" s="1"/>
  <c r="L222" i="5"/>
  <c r="C189" i="7" s="1"/>
  <c r="C190" i="7" s="1"/>
  <c r="D177" i="7"/>
  <c r="E177" i="7" s="1"/>
  <c r="F177" i="7" s="1"/>
  <c r="G177" i="7" s="1"/>
  <c r="G174" i="7"/>
  <c r="G175" i="7" s="1"/>
  <c r="F174" i="7"/>
  <c r="F175" i="7" s="1"/>
  <c r="E174" i="7"/>
  <c r="E175" i="7" s="1"/>
  <c r="D174" i="7"/>
  <c r="D175" i="7" s="1"/>
  <c r="C174" i="7"/>
  <c r="C175" i="7" s="1"/>
  <c r="G171" i="7"/>
  <c r="F171" i="7"/>
  <c r="E171" i="7"/>
  <c r="D171" i="7"/>
  <c r="C171" i="7"/>
  <c r="D167" i="7"/>
  <c r="E167" i="7" s="1"/>
  <c r="F167" i="7" s="1"/>
  <c r="G167" i="7" s="1"/>
  <c r="T131" i="7"/>
  <c r="S131" i="7"/>
  <c r="R131" i="7"/>
  <c r="Q131" i="7"/>
  <c r="P131" i="7"/>
  <c r="O131" i="7"/>
  <c r="N131" i="7"/>
  <c r="M131" i="7"/>
  <c r="L131" i="7"/>
  <c r="J131" i="7"/>
  <c r="I131" i="7"/>
  <c r="N16" i="1"/>
  <c r="M16" i="1"/>
  <c r="L16" i="1"/>
  <c r="L22" i="1" s="1"/>
  <c r="K16" i="1"/>
  <c r="K27" i="1" s="1"/>
  <c r="H130" i="7" s="1"/>
  <c r="J16" i="1"/>
  <c r="I16" i="1"/>
  <c r="I27" i="1" s="1"/>
  <c r="F130" i="7" s="1"/>
  <c r="H27" i="1"/>
  <c r="E130" i="7" s="1"/>
  <c r="G27" i="1"/>
  <c r="D130" i="7" s="1"/>
  <c r="V36" i="1"/>
  <c r="R36" i="1"/>
  <c r="R39" i="1" s="1"/>
  <c r="U36" i="1"/>
  <c r="Q36" i="1"/>
  <c r="T36" i="1"/>
  <c r="T39" i="1" s="1"/>
  <c r="P36" i="1"/>
  <c r="S36" i="1"/>
  <c r="S39" i="1" s="1"/>
  <c r="O36" i="1"/>
  <c r="O39" i="1" s="1"/>
  <c r="O44" i="1" s="1"/>
  <c r="O45" i="1" s="1"/>
  <c r="N36" i="1"/>
  <c r="N39" i="1" s="1"/>
  <c r="N44" i="1" s="1"/>
  <c r="M36" i="1"/>
  <c r="M39" i="1" s="1"/>
  <c r="L36" i="1"/>
  <c r="K36" i="1"/>
  <c r="J36" i="1"/>
  <c r="J39" i="1" s="1"/>
  <c r="J49" i="1" s="1"/>
  <c r="I36" i="1"/>
  <c r="I128" i="7"/>
  <c r="H128" i="7"/>
  <c r="G128" i="7"/>
  <c r="F128" i="7"/>
  <c r="E128" i="7"/>
  <c r="D128" i="7"/>
  <c r="T124" i="7"/>
  <c r="T127" i="7" s="1"/>
  <c r="S124" i="7"/>
  <c r="S127" i="7" s="1"/>
  <c r="R124" i="7"/>
  <c r="R127" i="7" s="1"/>
  <c r="Q124" i="7"/>
  <c r="Q127" i="7" s="1"/>
  <c r="P124" i="7"/>
  <c r="P127" i="7" s="1"/>
  <c r="O124" i="7"/>
  <c r="O127" i="7" s="1"/>
  <c r="N124" i="7"/>
  <c r="N127" i="7" s="1"/>
  <c r="M124" i="7"/>
  <c r="M127" i="7" s="1"/>
  <c r="L124" i="7"/>
  <c r="L127" i="7" s="1"/>
  <c r="J124" i="7"/>
  <c r="J127" i="7" s="1"/>
  <c r="I124" i="7"/>
  <c r="I127" i="7" s="1"/>
  <c r="H124" i="7"/>
  <c r="H127" i="7" s="1"/>
  <c r="G124" i="7"/>
  <c r="G127" i="7" s="1"/>
  <c r="F124" i="7"/>
  <c r="F127" i="7" s="1"/>
  <c r="E124" i="7"/>
  <c r="E127" i="7" s="1"/>
  <c r="D124" i="7"/>
  <c r="D127" i="7" s="1"/>
  <c r="V71" i="1"/>
  <c r="U71" i="1"/>
  <c r="S125" i="7" s="1"/>
  <c r="T71" i="1"/>
  <c r="S71" i="1"/>
  <c r="Q125" i="7" s="1"/>
  <c r="R71" i="1"/>
  <c r="P125" i="7" s="1"/>
  <c r="Q71" i="1"/>
  <c r="P71" i="1"/>
  <c r="N125" i="7" s="1"/>
  <c r="O71" i="1"/>
  <c r="M125" i="7" s="1"/>
  <c r="N71" i="1"/>
  <c r="L125" i="7" s="1"/>
  <c r="M71" i="1"/>
  <c r="L71" i="1"/>
  <c r="K71" i="1"/>
  <c r="H125" i="7" s="1"/>
  <c r="J71" i="1"/>
  <c r="I71" i="1"/>
  <c r="F125" i="7" s="1"/>
  <c r="E125" i="7"/>
  <c r="D125" i="7"/>
  <c r="V73" i="7"/>
  <c r="V72" i="7"/>
  <c r="W66" i="7"/>
  <c r="W71" i="7" s="1"/>
  <c r="V71" i="7"/>
  <c r="W69" i="7"/>
  <c r="V69" i="7"/>
  <c r="U69" i="7"/>
  <c r="T69" i="7"/>
  <c r="S69" i="7"/>
  <c r="R69" i="7"/>
  <c r="Q69" i="7"/>
  <c r="P69" i="7"/>
  <c r="O69" i="7"/>
  <c r="N69" i="7"/>
  <c r="M69" i="7"/>
  <c r="L69" i="7"/>
  <c r="J69" i="7"/>
  <c r="I69" i="7"/>
  <c r="H69" i="7"/>
  <c r="G69" i="7"/>
  <c r="V73" i="1"/>
  <c r="R73" i="1"/>
  <c r="U73" i="1"/>
  <c r="Q73" i="1"/>
  <c r="T73" i="1"/>
  <c r="P73" i="1"/>
  <c r="S73" i="1"/>
  <c r="O73" i="1"/>
  <c r="N73" i="1"/>
  <c r="M73" i="1"/>
  <c r="L73" i="1"/>
  <c r="K73" i="1"/>
  <c r="J73" i="1"/>
  <c r="I73" i="1"/>
  <c r="H73" i="1"/>
  <c r="G73" i="1"/>
  <c r="F73" i="1"/>
  <c r="E25" i="1"/>
  <c r="E73" i="1" s="1"/>
  <c r="D25" i="1"/>
  <c r="D27" i="1" s="1"/>
  <c r="C25" i="1"/>
  <c r="C73" i="1" s="1"/>
  <c r="AA36" i="1"/>
  <c r="W36" i="1"/>
  <c r="Z36" i="1"/>
  <c r="Y36" i="1"/>
  <c r="X36" i="1"/>
  <c r="AB66" i="7"/>
  <c r="AC66" i="7" s="1"/>
  <c r="AD66" i="7" s="1"/>
  <c r="AE66" i="7" s="1"/>
  <c r="AF66" i="7" s="1"/>
  <c r="AA66" i="7"/>
  <c r="Z66" i="7"/>
  <c r="Y66" i="7"/>
  <c r="X66" i="7"/>
  <c r="V66" i="7"/>
  <c r="U66" i="7"/>
  <c r="T66" i="7"/>
  <c r="S66" i="7"/>
  <c r="R66" i="7"/>
  <c r="Q66" i="7"/>
  <c r="P66" i="7"/>
  <c r="O66" i="7"/>
  <c r="N66" i="7"/>
  <c r="M66" i="7"/>
  <c r="L66" i="7"/>
  <c r="J66" i="1"/>
  <c r="H65" i="7"/>
  <c r="G65" i="7"/>
  <c r="F65" i="7"/>
  <c r="E65" i="7"/>
  <c r="D65" i="7"/>
  <c r="C65" i="7"/>
  <c r="H64" i="7"/>
  <c r="G64" i="7"/>
  <c r="F64" i="7"/>
  <c r="E64" i="7"/>
  <c r="D64" i="7"/>
  <c r="C64" i="7"/>
  <c r="W63" i="7"/>
  <c r="V63" i="7"/>
  <c r="U63" i="7"/>
  <c r="T63" i="7"/>
  <c r="S63" i="7"/>
  <c r="R63" i="7"/>
  <c r="Q63" i="7"/>
  <c r="P63" i="7"/>
  <c r="O63" i="7"/>
  <c r="N63" i="7"/>
  <c r="M63" i="7"/>
  <c r="L63" i="7"/>
  <c r="J63" i="7"/>
  <c r="I63" i="7"/>
  <c r="H63" i="7"/>
  <c r="G63" i="7"/>
  <c r="F63" i="7"/>
  <c r="E63" i="7"/>
  <c r="D63" i="7"/>
  <c r="C63" i="7"/>
  <c r="P60" i="7"/>
  <c r="O60" i="7"/>
  <c r="N60" i="7"/>
  <c r="M60" i="7"/>
  <c r="L60" i="7"/>
  <c r="P164" i="1"/>
  <c r="W166" i="1"/>
  <c r="W172" i="1" s="1"/>
  <c r="S166" i="1"/>
  <c r="S172" i="1" s="1"/>
  <c r="P58" i="7"/>
  <c r="O58" i="7"/>
  <c r="N58" i="7"/>
  <c r="M58" i="7"/>
  <c r="L58" i="7"/>
  <c r="W88" i="1"/>
  <c r="W56" i="7"/>
  <c r="V56" i="7"/>
  <c r="U56" i="7"/>
  <c r="T56" i="7"/>
  <c r="S56" i="7"/>
  <c r="R56" i="7"/>
  <c r="Q56" i="7"/>
  <c r="P56" i="7"/>
  <c r="O56" i="7"/>
  <c r="AC36" i="1"/>
  <c r="AC39" i="1" s="1"/>
  <c r="AB36" i="1"/>
  <c r="CV25" i="1"/>
  <c r="W51" i="7" s="1"/>
  <c r="CU25" i="1"/>
  <c r="V51" i="7" s="1"/>
  <c r="CT25" i="1"/>
  <c r="U51" i="7" s="1"/>
  <c r="CS25" i="1"/>
  <c r="T51" i="7" s="1"/>
  <c r="CR25" i="1"/>
  <c r="S51" i="7" s="1"/>
  <c r="CQ25" i="1"/>
  <c r="R51" i="7" s="1"/>
  <c r="CP25" i="1"/>
  <c r="Q51" i="7" s="1"/>
  <c r="CO25" i="1"/>
  <c r="P51" i="7" s="1"/>
  <c r="CN25" i="1"/>
  <c r="O51" i="7" s="1"/>
  <c r="CM25" i="1"/>
  <c r="N51" i="7" s="1"/>
  <c r="N32" i="7" s="1"/>
  <c r="CL25" i="1"/>
  <c r="M51" i="7" s="1"/>
  <c r="M32" i="7" s="1"/>
  <c r="CK25" i="1"/>
  <c r="L51" i="7" s="1"/>
  <c r="L32" i="7" s="1"/>
  <c r="CJ25" i="1"/>
  <c r="J51" i="7" s="1"/>
  <c r="J32" i="7" s="1"/>
  <c r="CI25" i="1"/>
  <c r="I51" i="7" s="1"/>
  <c r="I32" i="7" s="1"/>
  <c r="CH25" i="1"/>
  <c r="H51" i="7" s="1"/>
  <c r="H32" i="7" s="1"/>
  <c r="CG25" i="1"/>
  <c r="G51" i="7" s="1"/>
  <c r="G32" i="7" s="1"/>
  <c r="CF25" i="1"/>
  <c r="F51" i="7" s="1"/>
  <c r="F32" i="7" s="1"/>
  <c r="CE25" i="1"/>
  <c r="E51" i="7" s="1"/>
  <c r="E32" i="7" s="1"/>
  <c r="CD25" i="1"/>
  <c r="D51" i="7" s="1"/>
  <c r="D32" i="7" s="1"/>
  <c r="CC25" i="1"/>
  <c r="C51" i="7" s="1"/>
  <c r="C32" i="7" s="1"/>
  <c r="CC83" i="1"/>
  <c r="C49" i="7" s="1"/>
  <c r="C31" i="7" s="1"/>
  <c r="W47" i="7"/>
  <c r="V47" i="7"/>
  <c r="U47" i="7"/>
  <c r="T47" i="7"/>
  <c r="S47" i="7"/>
  <c r="R47" i="7"/>
  <c r="Q47" i="7"/>
  <c r="P47" i="7"/>
  <c r="O47" i="7"/>
  <c r="N47" i="7"/>
  <c r="M47" i="7"/>
  <c r="L47" i="7"/>
  <c r="J47" i="7"/>
  <c r="I47" i="7"/>
  <c r="H47" i="7"/>
  <c r="G47" i="7"/>
  <c r="F47" i="7"/>
  <c r="E47" i="7"/>
  <c r="D47" i="7"/>
  <c r="C47" i="7"/>
  <c r="W46" i="7"/>
  <c r="V46" i="7"/>
  <c r="U46" i="7"/>
  <c r="T46" i="7"/>
  <c r="S46" i="7"/>
  <c r="R46" i="7"/>
  <c r="Q46" i="7"/>
  <c r="P46" i="7"/>
  <c r="O46" i="7"/>
  <c r="N46" i="7"/>
  <c r="M46" i="7"/>
  <c r="L46" i="7"/>
  <c r="J46" i="7"/>
  <c r="I46" i="7"/>
  <c r="H46" i="7"/>
  <c r="T8" i="1"/>
  <c r="AG6" i="1"/>
  <c r="AF6" i="1"/>
  <c r="AE6" i="1"/>
  <c r="AD6" i="1"/>
  <c r="AC6" i="1"/>
  <c r="AC9" i="1" s="1"/>
  <c r="AB6" i="1"/>
  <c r="T9" i="1"/>
  <c r="AC5" i="1"/>
  <c r="O44" i="7" s="1"/>
  <c r="AB5" i="1"/>
  <c r="N44" i="7" s="1"/>
  <c r="R5" i="1"/>
  <c r="C44" i="7" s="1"/>
  <c r="W43" i="7"/>
  <c r="V43" i="7"/>
  <c r="U43" i="7"/>
  <c r="T43" i="7"/>
  <c r="S43" i="7"/>
  <c r="R43" i="7"/>
  <c r="Q43" i="7"/>
  <c r="P43" i="7"/>
  <c r="O43" i="7"/>
  <c r="N43" i="7"/>
  <c r="N30" i="7" s="1"/>
  <c r="M43" i="7"/>
  <c r="M30" i="7" s="1"/>
  <c r="P37" i="7" s="1"/>
  <c r="L43" i="7"/>
  <c r="L30" i="7" s="1"/>
  <c r="O37" i="7" s="1"/>
  <c r="J43" i="7"/>
  <c r="J30" i="7" s="1"/>
  <c r="N37" i="7" s="1"/>
  <c r="I43" i="7"/>
  <c r="I30" i="7" s="1"/>
  <c r="M37" i="7" s="1"/>
  <c r="H43" i="7"/>
  <c r="H30" i="7" s="1"/>
  <c r="L37" i="7" s="1"/>
  <c r="G43" i="7"/>
  <c r="G30" i="7" s="1"/>
  <c r="J37" i="7" s="1"/>
  <c r="F43" i="7"/>
  <c r="F30" i="7" s="1"/>
  <c r="I37" i="7" s="1"/>
  <c r="E43" i="7"/>
  <c r="E30" i="7" s="1"/>
  <c r="H37" i="7" s="1"/>
  <c r="D43" i="7"/>
  <c r="D30" i="7" s="1"/>
  <c r="G37" i="7" s="1"/>
  <c r="C43" i="7"/>
  <c r="C30" i="7" s="1"/>
  <c r="F37" i="7" s="1"/>
  <c r="E37" i="7"/>
  <c r="D37" i="7"/>
  <c r="C37" i="7"/>
  <c r="P9" i="7"/>
  <c r="O9" i="7"/>
  <c r="N9" i="7"/>
  <c r="M9" i="7"/>
  <c r="L9" i="7"/>
  <c r="J9" i="7"/>
  <c r="I9" i="7"/>
  <c r="B28" i="7"/>
  <c r="M116" i="5"/>
  <c r="M216" i="5" s="1"/>
  <c r="L116" i="5"/>
  <c r="G5" i="7" s="1"/>
  <c r="K116" i="5"/>
  <c r="E5" i="7"/>
  <c r="B27" i="7"/>
  <c r="B26" i="7"/>
  <c r="B25" i="7"/>
  <c r="B24" i="7"/>
  <c r="G4" i="7"/>
  <c r="E23" i="7" s="1"/>
  <c r="D23" i="7"/>
  <c r="E4" i="7"/>
  <c r="H21" i="7"/>
  <c r="G21" i="7"/>
  <c r="F21" i="7"/>
  <c r="E21" i="7"/>
  <c r="J20" i="7"/>
  <c r="I20" i="7"/>
  <c r="D5" i="7"/>
  <c r="B18" i="7"/>
  <c r="B17" i="7"/>
  <c r="P16" i="7"/>
  <c r="O16" i="7"/>
  <c r="N16" i="7"/>
  <c r="M16" i="7"/>
  <c r="L16" i="7"/>
  <c r="J16" i="7"/>
  <c r="I16" i="7"/>
  <c r="H16" i="7"/>
  <c r="G16" i="7"/>
  <c r="F16" i="7"/>
  <c r="E16" i="7"/>
  <c r="B16" i="7"/>
  <c r="P15" i="7"/>
  <c r="O15" i="7"/>
  <c r="N15" i="7"/>
  <c r="M15" i="7"/>
  <c r="L15" i="7"/>
  <c r="J15" i="7"/>
  <c r="I15" i="7"/>
  <c r="H15" i="7"/>
  <c r="G15" i="7"/>
  <c r="F15" i="7"/>
  <c r="E15" i="7"/>
  <c r="B15" i="7"/>
  <c r="P14" i="7"/>
  <c r="O14" i="7"/>
  <c r="N14" i="7"/>
  <c r="M14" i="7"/>
  <c r="L14" i="7"/>
  <c r="J14" i="7"/>
  <c r="I14" i="7"/>
  <c r="H14" i="7"/>
  <c r="G14" i="7"/>
  <c r="F14" i="7"/>
  <c r="E14" i="7"/>
  <c r="B14" i="7"/>
  <c r="B13" i="7"/>
  <c r="AJ286" i="1"/>
  <c r="AH286" i="1"/>
  <c r="AH296" i="1" s="1"/>
  <c r="AG286" i="1"/>
  <c r="AF286" i="1"/>
  <c r="AF235" i="1" s="1"/>
  <c r="AE300" i="1"/>
  <c r="AL286" i="1"/>
  <c r="AK286" i="1"/>
  <c r="AG249" i="1"/>
  <c r="AM291" i="1"/>
  <c r="AL291" i="1"/>
  <c r="AK291" i="1"/>
  <c r="AJ291" i="1"/>
  <c r="AI291" i="1"/>
  <c r="AH291" i="1"/>
  <c r="AG291" i="1"/>
  <c r="AF291" i="1"/>
  <c r="AE291" i="1"/>
  <c r="AD291" i="1"/>
  <c r="AC291" i="1"/>
  <c r="AE286" i="1"/>
  <c r="AE235" i="1" s="1"/>
  <c r="AD286" i="1"/>
  <c r="AD235" i="1" s="1"/>
  <c r="AC286" i="1"/>
  <c r="AC235" i="1" s="1"/>
  <c r="AE283" i="1"/>
  <c r="AD283" i="1"/>
  <c r="AC283" i="1"/>
  <c r="AB283" i="1"/>
  <c r="AL268" i="1"/>
  <c r="AK261" i="1"/>
  <c r="AI268" i="1"/>
  <c r="AH268" i="1"/>
  <c r="AH269" i="1" s="1"/>
  <c r="AG264" i="1"/>
  <c r="AF264" i="1"/>
  <c r="B280" i="1"/>
  <c r="AM279" i="1"/>
  <c r="AL279" i="1"/>
  <c r="AK279" i="1"/>
  <c r="AJ279" i="1"/>
  <c r="AI279" i="1"/>
  <c r="AH279" i="1"/>
  <c r="AG279" i="1"/>
  <c r="B279" i="1"/>
  <c r="AM271" i="1"/>
  <c r="AM278" i="1" s="1"/>
  <c r="AL271" i="1"/>
  <c r="AL278" i="1" s="1"/>
  <c r="AK271" i="1"/>
  <c r="AK278" i="1" s="1"/>
  <c r="AJ271" i="1"/>
  <c r="AJ278" i="1" s="1"/>
  <c r="AI271" i="1"/>
  <c r="AI278" i="1" s="1"/>
  <c r="AH271" i="1"/>
  <c r="AH278" i="1" s="1"/>
  <c r="AG271" i="1"/>
  <c r="AG278" i="1" s="1"/>
  <c r="AM276" i="1"/>
  <c r="AI276" i="1"/>
  <c r="AE264" i="1"/>
  <c r="AD264" i="1"/>
  <c r="AC264" i="1"/>
  <c r="AC276" i="1" s="1"/>
  <c r="AA276" i="1"/>
  <c r="AL275" i="1"/>
  <c r="AK275" i="1"/>
  <c r="AJ275" i="1"/>
  <c r="AI275" i="1"/>
  <c r="AH275" i="1"/>
  <c r="AG275" i="1"/>
  <c r="AF275" i="1"/>
  <c r="AE275" i="1"/>
  <c r="AD275" i="1"/>
  <c r="B275" i="1"/>
  <c r="AC275" i="1" s="1"/>
  <c r="AM274" i="1"/>
  <c r="AL274" i="1"/>
  <c r="AK274" i="1"/>
  <c r="AJ274" i="1"/>
  <c r="AI274" i="1"/>
  <c r="AH274" i="1"/>
  <c r="AG274" i="1"/>
  <c r="AF274" i="1"/>
  <c r="AE274" i="1"/>
  <c r="AD274" i="1"/>
  <c r="B274" i="1"/>
  <c r="AC274" i="1" s="1"/>
  <c r="AL261" i="1"/>
  <c r="AM273" i="1" s="1"/>
  <c r="AI261" i="1"/>
  <c r="AI260" i="1" s="1"/>
  <c r="AH273" i="1"/>
  <c r="AG273" i="1"/>
  <c r="AF273" i="1"/>
  <c r="AE273" i="1"/>
  <c r="AD273" i="1"/>
  <c r="B273" i="1"/>
  <c r="AC273" i="1" s="1"/>
  <c r="AM272" i="1"/>
  <c r="AL272" i="1"/>
  <c r="AK272" i="1"/>
  <c r="AH272" i="1"/>
  <c r="AG272" i="1"/>
  <c r="AF272" i="1"/>
  <c r="AE272" i="1"/>
  <c r="AD272" i="1"/>
  <c r="B272" i="1"/>
  <c r="AC272" i="1" s="1"/>
  <c r="AF271" i="1"/>
  <c r="AE271" i="1"/>
  <c r="AD271" i="1"/>
  <c r="AM259" i="1"/>
  <c r="AL259" i="1"/>
  <c r="AK259" i="1"/>
  <c r="AJ259" i="1"/>
  <c r="AI259" i="1"/>
  <c r="AH259" i="1"/>
  <c r="AG259" i="1"/>
  <c r="AF259" i="1"/>
  <c r="AE259" i="1"/>
  <c r="AD259" i="1"/>
  <c r="AC259" i="1"/>
  <c r="AJ241" i="1"/>
  <c r="AI241" i="1"/>
  <c r="AH241" i="1"/>
  <c r="AG241" i="1"/>
  <c r="AF241" i="1"/>
  <c r="AK241" i="1"/>
  <c r="AM241" i="1"/>
  <c r="AL241" i="1"/>
  <c r="AG234" i="1"/>
  <c r="AF234" i="1"/>
  <c r="AE234" i="1"/>
  <c r="AD234" i="1"/>
  <c r="H231" i="1"/>
  <c r="G231" i="1"/>
  <c r="F231" i="1"/>
  <c r="E231" i="1"/>
  <c r="AH190" i="1"/>
  <c r="AH194" i="1" s="1"/>
  <c r="AH151" i="1"/>
  <c r="AH134" i="1"/>
  <c r="AC201" i="1"/>
  <c r="AD202" i="1" s="1"/>
  <c r="AB201" i="1"/>
  <c r="AA201" i="1"/>
  <c r="Z201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AL207" i="1"/>
  <c r="AK207" i="1"/>
  <c r="AG207" i="1"/>
  <c r="AL202" i="1"/>
  <c r="AK202" i="1"/>
  <c r="AJ202" i="1"/>
  <c r="AI202" i="1"/>
  <c r="AH202" i="1"/>
  <c r="AG202" i="1"/>
  <c r="AF202" i="1"/>
  <c r="AE202" i="1"/>
  <c r="Y201" i="1"/>
  <c r="X201" i="1"/>
  <c r="AI166" i="1"/>
  <c r="AF198" i="1"/>
  <c r="AE196" i="1"/>
  <c r="AE166" i="1"/>
  <c r="AD198" i="1"/>
  <c r="AC196" i="1"/>
  <c r="AB198" i="1"/>
  <c r="AG190" i="1"/>
  <c r="AF189" i="1"/>
  <c r="AD190" i="1"/>
  <c r="AD194" i="1" s="1"/>
  <c r="AC189" i="1"/>
  <c r="CR189" i="1" s="1"/>
  <c r="AB189" i="1"/>
  <c r="CX193" i="1"/>
  <c r="CW193" i="1"/>
  <c r="CV193" i="1"/>
  <c r="CU193" i="1"/>
  <c r="CT193" i="1"/>
  <c r="CS193" i="1"/>
  <c r="CR193" i="1"/>
  <c r="CQ193" i="1"/>
  <c r="CP193" i="1"/>
  <c r="CO193" i="1"/>
  <c r="CN193" i="1"/>
  <c r="CM193" i="1"/>
  <c r="CL193" i="1"/>
  <c r="CK193" i="1"/>
  <c r="CJ193" i="1"/>
  <c r="CI193" i="1"/>
  <c r="CH193" i="1"/>
  <c r="CW191" i="1"/>
  <c r="CV191" i="1"/>
  <c r="CU191" i="1"/>
  <c r="CS191" i="1"/>
  <c r="CR191" i="1"/>
  <c r="CQ191" i="1"/>
  <c r="CP191" i="1"/>
  <c r="CO191" i="1"/>
  <c r="CN191" i="1"/>
  <c r="CM191" i="1"/>
  <c r="CL191" i="1"/>
  <c r="CK191" i="1"/>
  <c r="CJ191" i="1"/>
  <c r="CI191" i="1"/>
  <c r="CH191" i="1"/>
  <c r="CX189" i="1"/>
  <c r="CW189" i="1"/>
  <c r="CV189" i="1"/>
  <c r="CT189" i="1"/>
  <c r="CS189" i="1"/>
  <c r="CP189" i="1"/>
  <c r="CO189" i="1"/>
  <c r="CL189" i="1"/>
  <c r="CJ189" i="1"/>
  <c r="CI189" i="1"/>
  <c r="CH189" i="1"/>
  <c r="CS188" i="1"/>
  <c r="CR188" i="1"/>
  <c r="CQ188" i="1"/>
  <c r="CP188" i="1"/>
  <c r="CO188" i="1"/>
  <c r="AB127" i="1"/>
  <c r="AA127" i="1"/>
  <c r="AB183" i="1"/>
  <c r="CS184" i="1"/>
  <c r="CR184" i="1"/>
  <c r="CQ184" i="1"/>
  <c r="CP184" i="1"/>
  <c r="CO184" i="1"/>
  <c r="CN184" i="1"/>
  <c r="CM184" i="1"/>
  <c r="CL184" i="1"/>
  <c r="CK184" i="1"/>
  <c r="CE184" i="1"/>
  <c r="CD184" i="1"/>
  <c r="AD183" i="1"/>
  <c r="CS183" i="1" s="1"/>
  <c r="AE182" i="1"/>
  <c r="Z182" i="1"/>
  <c r="CS181" i="1"/>
  <c r="CR181" i="1"/>
  <c r="CQ181" i="1"/>
  <c r="CP181" i="1"/>
  <c r="CO181" i="1"/>
  <c r="CN181" i="1"/>
  <c r="CM181" i="1"/>
  <c r="CL181" i="1"/>
  <c r="CK181" i="1"/>
  <c r="CJ181" i="1"/>
  <c r="CI181" i="1"/>
  <c r="CS177" i="1"/>
  <c r="CR177" i="1"/>
  <c r="CQ177" i="1"/>
  <c r="CP177" i="1"/>
  <c r="CO177" i="1"/>
  <c r="CN177" i="1"/>
  <c r="CM177" i="1"/>
  <c r="CL177" i="1"/>
  <c r="CK177" i="1"/>
  <c r="CJ177" i="1"/>
  <c r="CI177" i="1"/>
  <c r="O166" i="1"/>
  <c r="CS165" i="1"/>
  <c r="CR165" i="1"/>
  <c r="CQ165" i="1"/>
  <c r="CP165" i="1"/>
  <c r="CO165" i="1"/>
  <c r="CL165" i="1"/>
  <c r="CD165" i="1"/>
  <c r="CX164" i="1"/>
  <c r="CT164" i="1"/>
  <c r="CP164" i="1"/>
  <c r="CL164" i="1"/>
  <c r="CH164" i="1"/>
  <c r="CD164" i="1"/>
  <c r="AD162" i="1"/>
  <c r="Z142" i="1"/>
  <c r="CJ162" i="1"/>
  <c r="CI162" i="1"/>
  <c r="CH162" i="1"/>
  <c r="CG162" i="1"/>
  <c r="CF162" i="1"/>
  <c r="CE162" i="1"/>
  <c r="CD162" i="1"/>
  <c r="AH158" i="1"/>
  <c r="Y158" i="1"/>
  <c r="X158" i="1"/>
  <c r="W158" i="1"/>
  <c r="AM149" i="1"/>
  <c r="AM132" i="1"/>
  <c r="CX132" i="1" s="1"/>
  <c r="Y131" i="1"/>
  <c r="Y147" i="1" s="1"/>
  <c r="Y148" i="1" s="1"/>
  <c r="X157" i="1"/>
  <c r="W157" i="1"/>
  <c r="AL105" i="1"/>
  <c r="AH105" i="1"/>
  <c r="AH106" i="1" s="1"/>
  <c r="T141" i="1"/>
  <c r="S141" i="1"/>
  <c r="AM154" i="1"/>
  <c r="AL154" i="1"/>
  <c r="AK154" i="1"/>
  <c r="AF128" i="1"/>
  <c r="AF127" i="1"/>
  <c r="AE113" i="1"/>
  <c r="AE112" i="1"/>
  <c r="AD127" i="1"/>
  <c r="T140" i="1"/>
  <c r="Y142" i="1"/>
  <c r="Y144" i="1" s="1"/>
  <c r="Y151" i="1"/>
  <c r="CS150" i="1"/>
  <c r="CQ150" i="1"/>
  <c r="CM150" i="1"/>
  <c r="AA131" i="1"/>
  <c r="AA147" i="1" s="1"/>
  <c r="W131" i="1"/>
  <c r="W147" i="1" s="1"/>
  <c r="W148" i="1" s="1"/>
  <c r="CX145" i="1"/>
  <c r="CW145" i="1"/>
  <c r="CV145" i="1"/>
  <c r="CL145" i="1"/>
  <c r="CJ145" i="1"/>
  <c r="CH145" i="1"/>
  <c r="CG145" i="1"/>
  <c r="CF145" i="1"/>
  <c r="CE145" i="1"/>
  <c r="CD145" i="1"/>
  <c r="CC145" i="1"/>
  <c r="AL144" i="1"/>
  <c r="AK144" i="1"/>
  <c r="X142" i="1"/>
  <c r="X144" i="1" s="1"/>
  <c r="W142" i="1"/>
  <c r="W144" i="1" s="1"/>
  <c r="U142" i="1"/>
  <c r="U144" i="1" s="1"/>
  <c r="T142" i="1"/>
  <c r="S96" i="1"/>
  <c r="R140" i="1"/>
  <c r="R141" i="1"/>
  <c r="R142" i="1"/>
  <c r="Q140" i="1"/>
  <c r="Q141" i="1"/>
  <c r="Q142" i="1"/>
  <c r="P140" i="1"/>
  <c r="P141" i="1"/>
  <c r="P142" i="1"/>
  <c r="O141" i="1"/>
  <c r="O142" i="1"/>
  <c r="N140" i="1"/>
  <c r="N141" i="1"/>
  <c r="N142" i="1"/>
  <c r="V142" i="1"/>
  <c r="Z134" i="1"/>
  <c r="Y134" i="1"/>
  <c r="X134" i="1"/>
  <c r="W134" i="1"/>
  <c r="CS133" i="1"/>
  <c r="CQ133" i="1"/>
  <c r="CO133" i="1"/>
  <c r="CM133" i="1"/>
  <c r="CL133" i="1"/>
  <c r="CT132" i="1"/>
  <c r="CS132" i="1"/>
  <c r="CR132" i="1"/>
  <c r="CQ132" i="1"/>
  <c r="CP132" i="1"/>
  <c r="CM132" i="1"/>
  <c r="CX128" i="1"/>
  <c r="CW128" i="1"/>
  <c r="AG128" i="1"/>
  <c r="CV128" i="1" s="1"/>
  <c r="CS128" i="1"/>
  <c r="CO128" i="1"/>
  <c r="AG127" i="1"/>
  <c r="AC127" i="1"/>
  <c r="Z127" i="1"/>
  <c r="Y127" i="1"/>
  <c r="W127" i="1"/>
  <c r="CX125" i="1"/>
  <c r="CW125" i="1"/>
  <c r="CV125" i="1"/>
  <c r="CU125" i="1"/>
  <c r="CT125" i="1"/>
  <c r="CS125" i="1"/>
  <c r="Z125" i="1"/>
  <c r="CO125" i="1" s="1"/>
  <c r="CX123" i="1"/>
  <c r="CW123" i="1"/>
  <c r="CV123" i="1"/>
  <c r="CR123" i="1"/>
  <c r="CX122" i="1"/>
  <c r="CW122" i="1"/>
  <c r="CV122" i="1"/>
  <c r="CR122" i="1"/>
  <c r="AM122" i="1"/>
  <c r="AL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CX120" i="1"/>
  <c r="CW120" i="1"/>
  <c r="CV120" i="1"/>
  <c r="CU120" i="1"/>
  <c r="CT120" i="1"/>
  <c r="CS120" i="1"/>
  <c r="CR120" i="1"/>
  <c r="CQ120" i="1"/>
  <c r="CP120" i="1"/>
  <c r="Z120" i="1"/>
  <c r="CO120" i="1" s="1"/>
  <c r="V117" i="1"/>
  <c r="U117" i="1"/>
  <c r="U118" i="1"/>
  <c r="T117" i="1"/>
  <c r="T118" i="1"/>
  <c r="S117" i="1"/>
  <c r="R81" i="1"/>
  <c r="R116" i="1" s="1"/>
  <c r="R117" i="1"/>
  <c r="R118" i="1"/>
  <c r="Q81" i="1"/>
  <c r="Q116" i="1" s="1"/>
  <c r="Q117" i="1"/>
  <c r="Q118" i="1"/>
  <c r="P81" i="1"/>
  <c r="P116" i="1" s="1"/>
  <c r="P117" i="1"/>
  <c r="P118" i="1"/>
  <c r="O83" i="1"/>
  <c r="O117" i="1"/>
  <c r="O118" i="1"/>
  <c r="N81" i="1"/>
  <c r="N117" i="1"/>
  <c r="N118" i="1"/>
  <c r="B118" i="1"/>
  <c r="B117" i="1"/>
  <c r="B116" i="1"/>
  <c r="CS113" i="1"/>
  <c r="CR113" i="1"/>
  <c r="CQ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S112" i="1"/>
  <c r="CR112" i="1"/>
  <c r="CQ112" i="1"/>
  <c r="CO112" i="1"/>
  <c r="CN112" i="1"/>
  <c r="CM112" i="1"/>
  <c r="CL112" i="1"/>
  <c r="CK112" i="1"/>
  <c r="CJ112" i="1"/>
  <c r="CI112" i="1"/>
  <c r="CG112" i="1"/>
  <c r="CF112" i="1"/>
  <c r="CE112" i="1"/>
  <c r="CC112" i="1"/>
  <c r="CG109" i="1"/>
  <c r="CF109" i="1"/>
  <c r="CE109" i="1"/>
  <c r="CD109" i="1"/>
  <c r="CC109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X104" i="1"/>
  <c r="CW104" i="1"/>
  <c r="CV104" i="1"/>
  <c r="CU104" i="1"/>
  <c r="CT104" i="1"/>
  <c r="CS104" i="1"/>
  <c r="CR104" i="1"/>
  <c r="CQ104" i="1"/>
  <c r="CX103" i="1"/>
  <c r="CW103" i="1"/>
  <c r="CV103" i="1"/>
  <c r="CU103" i="1"/>
  <c r="CT103" i="1"/>
  <c r="CS103" i="1"/>
  <c r="CR103" i="1"/>
  <c r="CQ103" i="1"/>
  <c r="CG103" i="1"/>
  <c r="CF103" i="1"/>
  <c r="CE103" i="1"/>
  <c r="CD103" i="1"/>
  <c r="CC103" i="1"/>
  <c r="CX102" i="1"/>
  <c r="CW102" i="1"/>
  <c r="CV102" i="1"/>
  <c r="CU102" i="1"/>
  <c r="CT102" i="1"/>
  <c r="CS102" i="1"/>
  <c r="CR102" i="1"/>
  <c r="CQ102" i="1"/>
  <c r="CG102" i="1"/>
  <c r="CF102" i="1"/>
  <c r="CE102" i="1"/>
  <c r="CD102" i="1"/>
  <c r="CC102" i="1"/>
  <c r="CX101" i="1"/>
  <c r="CW101" i="1"/>
  <c r="CV101" i="1"/>
  <c r="CU101" i="1"/>
  <c r="CT101" i="1"/>
  <c r="CS101" i="1"/>
  <c r="CR101" i="1"/>
  <c r="CQ101" i="1"/>
  <c r="CG101" i="1"/>
  <c r="CF101" i="1"/>
  <c r="CE101" i="1"/>
  <c r="CD101" i="1"/>
  <c r="CC101" i="1"/>
  <c r="CX100" i="1"/>
  <c r="CW100" i="1"/>
  <c r="CV100" i="1"/>
  <c r="CU100" i="1"/>
  <c r="CT100" i="1"/>
  <c r="CS100" i="1"/>
  <c r="CR100" i="1"/>
  <c r="CQ100" i="1"/>
  <c r="CG100" i="1"/>
  <c r="CF100" i="1"/>
  <c r="CE100" i="1"/>
  <c r="CD100" i="1"/>
  <c r="CC100" i="1"/>
  <c r="Z97" i="1"/>
  <c r="Y97" i="1"/>
  <c r="X97" i="1"/>
  <c r="W97" i="1"/>
  <c r="V97" i="1"/>
  <c r="U97" i="1"/>
  <c r="T97" i="1"/>
  <c r="R97" i="1"/>
  <c r="Q97" i="1"/>
  <c r="P97" i="1"/>
  <c r="O97" i="1"/>
  <c r="N97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G96" i="1"/>
  <c r="CF96" i="1"/>
  <c r="CE96" i="1"/>
  <c r="CC96" i="1"/>
  <c r="CB96" i="1"/>
  <c r="CA96" i="1"/>
  <c r="BZ96" i="1"/>
  <c r="AD94" i="1"/>
  <c r="AC94" i="1"/>
  <c r="AB94" i="1"/>
  <c r="AA94" i="1"/>
  <c r="Z94" i="1"/>
  <c r="Y94" i="1"/>
  <c r="X94" i="1"/>
  <c r="W94" i="1"/>
  <c r="V94" i="1"/>
  <c r="U94" i="1"/>
  <c r="T94" i="1"/>
  <c r="R94" i="1"/>
  <c r="Q94" i="1"/>
  <c r="P94" i="1"/>
  <c r="O94" i="1"/>
  <c r="N94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X92" i="1"/>
  <c r="CW92" i="1"/>
  <c r="CV92" i="1"/>
  <c r="CU92" i="1"/>
  <c r="CS92" i="1"/>
  <c r="CR92" i="1"/>
  <c r="CQ92" i="1"/>
  <c r="CO92" i="1"/>
  <c r="CN92" i="1"/>
  <c r="CM92" i="1"/>
  <c r="CL92" i="1"/>
  <c r="CK92" i="1"/>
  <c r="CJ92" i="1"/>
  <c r="CI92" i="1"/>
  <c r="CG92" i="1"/>
  <c r="CF92" i="1"/>
  <c r="CE92" i="1"/>
  <c r="CC92" i="1"/>
  <c r="CB92" i="1"/>
  <c r="CA92" i="1"/>
  <c r="BZ92" i="1"/>
  <c r="N89" i="1"/>
  <c r="CX88" i="1"/>
  <c r="CW88" i="1"/>
  <c r="CV88" i="1"/>
  <c r="CU88" i="1"/>
  <c r="CT88" i="1"/>
  <c r="CS88" i="1"/>
  <c r="CR88" i="1"/>
  <c r="CQ88" i="1"/>
  <c r="CP88" i="1"/>
  <c r="CO88" i="1"/>
  <c r="CF88" i="1"/>
  <c r="CE88" i="1"/>
  <c r="CC88" i="1"/>
  <c r="CB88" i="1"/>
  <c r="CA88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V84" i="1"/>
  <c r="U84" i="1"/>
  <c r="T84" i="1"/>
  <c r="R84" i="1"/>
  <c r="Q84" i="1"/>
  <c r="P84" i="1"/>
  <c r="N84" i="1"/>
  <c r="M84" i="1"/>
  <c r="L84" i="1"/>
  <c r="K84" i="1"/>
  <c r="CX83" i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G83" i="1"/>
  <c r="CF83" i="1"/>
  <c r="CE83" i="1"/>
  <c r="CB83" i="1"/>
  <c r="CA83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M82" i="1"/>
  <c r="M81" i="1" s="1"/>
  <c r="L82" i="1"/>
  <c r="L81" i="1" s="1"/>
  <c r="CX81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V76" i="1"/>
  <c r="U76" i="1"/>
  <c r="U78" i="1" s="1"/>
  <c r="T76" i="1"/>
  <c r="CI76" i="1" s="1"/>
  <c r="S76" i="1"/>
  <c r="R76" i="1"/>
  <c r="R78" i="1" s="1"/>
  <c r="Q76" i="1"/>
  <c r="Q78" i="1" s="1"/>
  <c r="P76" i="1"/>
  <c r="O76" i="1"/>
  <c r="O78" i="1" s="1"/>
  <c r="N76" i="1"/>
  <c r="M76" i="1"/>
  <c r="L76" i="1"/>
  <c r="L78" i="1" s="1"/>
  <c r="K76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W71" i="1"/>
  <c r="AF66" i="1"/>
  <c r="AF67" i="1" s="1"/>
  <c r="AE66" i="1"/>
  <c r="AE67" i="1" s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F27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CB25" i="1"/>
  <c r="CA25" i="1"/>
  <c r="BZ25" i="1"/>
  <c r="AH11" i="1"/>
  <c r="AG11" i="1"/>
  <c r="AF11" i="1"/>
  <c r="AE11" i="1"/>
  <c r="AD11" i="1"/>
  <c r="AC11" i="1"/>
  <c r="AB11" i="1"/>
  <c r="AA11" i="1"/>
  <c r="S9" i="1"/>
  <c r="S8" i="1"/>
  <c r="R8" i="1"/>
  <c r="Q8" i="1"/>
  <c r="P8" i="1"/>
  <c r="O8" i="1"/>
  <c r="Q5" i="1"/>
  <c r="P5" i="1"/>
  <c r="O5" i="1"/>
  <c r="N5" i="1"/>
  <c r="M5" i="1"/>
  <c r="L5" i="1"/>
  <c r="K5" i="1"/>
  <c r="J5" i="1"/>
  <c r="I5" i="1"/>
  <c r="H5" i="1"/>
  <c r="S220" i="9"/>
  <c r="X220" i="9" s="1"/>
  <c r="S221" i="9"/>
  <c r="S223" i="9"/>
  <c r="S367" i="5"/>
  <c r="T367" i="5"/>
  <c r="U367" i="5"/>
  <c r="V367" i="5"/>
  <c r="K13" i="6"/>
  <c r="J13" i="6"/>
  <c r="I13" i="6"/>
  <c r="H13" i="6"/>
  <c r="G13" i="6"/>
  <c r="F13" i="6"/>
  <c r="F19" i="6"/>
  <c r="E13" i="6"/>
  <c r="E19" i="6"/>
  <c r="I255" i="5"/>
  <c r="I272" i="5" s="1"/>
  <c r="Q340" i="5"/>
  <c r="Q333" i="5"/>
  <c r="Q335" i="5" s="1"/>
  <c r="U333" i="5"/>
  <c r="V333" i="5" s="1"/>
  <c r="W333" i="5" s="1"/>
  <c r="X333" i="5" s="1"/>
  <c r="Y333" i="5" s="1"/>
  <c r="Z333" i="5" s="1"/>
  <c r="U346" i="5"/>
  <c r="V346" i="5" s="1"/>
  <c r="W346" i="5" s="1"/>
  <c r="X346" i="5" s="1"/>
  <c r="Y346" i="5"/>
  <c r="Z346" i="5" s="1"/>
  <c r="AA346" i="5" s="1"/>
  <c r="Q347" i="5"/>
  <c r="Q343" i="5"/>
  <c r="P343" i="5"/>
  <c r="P357" i="5" s="1"/>
  <c r="O343" i="5"/>
  <c r="N341" i="5"/>
  <c r="N343" i="5" s="1"/>
  <c r="N340" i="5"/>
  <c r="M343" i="5"/>
  <c r="L336" i="5"/>
  <c r="L343" i="5" s="1"/>
  <c r="K291" i="5"/>
  <c r="E48" i="6"/>
  <c r="K343" i="5"/>
  <c r="M293" i="5"/>
  <c r="M294" i="5" s="1"/>
  <c r="G4" i="6"/>
  <c r="G8" i="6" s="1"/>
  <c r="G7" i="6" s="1"/>
  <c r="F4" i="6"/>
  <c r="F8" i="6" s="1"/>
  <c r="L293" i="5"/>
  <c r="O110" i="8" s="1"/>
  <c r="E4" i="6"/>
  <c r="E8" i="6" s="1"/>
  <c r="E7" i="6" s="1"/>
  <c r="K293" i="5"/>
  <c r="K294" i="5" s="1"/>
  <c r="L318" i="5"/>
  <c r="M309" i="5" s="1"/>
  <c r="Q16" i="8" s="1"/>
  <c r="K21" i="6"/>
  <c r="K22" i="6"/>
  <c r="J21" i="6"/>
  <c r="J22" i="6"/>
  <c r="I21" i="6"/>
  <c r="I22" i="6"/>
  <c r="G22" i="6"/>
  <c r="F20" i="6"/>
  <c r="F22" i="6"/>
  <c r="N8" i="8"/>
  <c r="E20" i="6"/>
  <c r="E22" i="6"/>
  <c r="Q11" i="6"/>
  <c r="R11" i="6" s="1"/>
  <c r="S11" i="6" s="1"/>
  <c r="T11" i="6" s="1"/>
  <c r="U11" i="6" s="1"/>
  <c r="V11" i="6" s="1"/>
  <c r="M33" i="6"/>
  <c r="K318" i="5"/>
  <c r="L309" i="5" s="1"/>
  <c r="P16" i="8" s="1"/>
  <c r="C238" i="9"/>
  <c r="X226" i="9"/>
  <c r="N26" i="9"/>
  <c r="M26" i="9"/>
  <c r="M30" i="9" s="1"/>
  <c r="M207" i="9" s="1"/>
  <c r="L26" i="9"/>
  <c r="K26" i="9"/>
  <c r="J7" i="9"/>
  <c r="J30" i="9" s="1"/>
  <c r="J26" i="9"/>
  <c r="J11" i="9"/>
  <c r="K12" i="9" s="1"/>
  <c r="I7" i="9"/>
  <c r="I26" i="9"/>
  <c r="I11" i="9"/>
  <c r="I15" i="9" s="1"/>
  <c r="H207" i="9"/>
  <c r="H208" i="9"/>
  <c r="G207" i="9"/>
  <c r="G209" i="9" s="1"/>
  <c r="G210" i="9" s="1"/>
  <c r="G208" i="9"/>
  <c r="F207" i="9"/>
  <c r="F208" i="9"/>
  <c r="C122" i="9"/>
  <c r="C152" i="9" s="1"/>
  <c r="C182" i="9" s="1"/>
  <c r="C205" i="9" s="1"/>
  <c r="K192" i="9"/>
  <c r="L200" i="9"/>
  <c r="M200" i="9"/>
  <c r="N200" i="9"/>
  <c r="N202" i="9" s="1"/>
  <c r="K200" i="9"/>
  <c r="J200" i="9"/>
  <c r="I200" i="9"/>
  <c r="H11" i="9"/>
  <c r="H200" i="9"/>
  <c r="G11" i="9"/>
  <c r="G200" i="9"/>
  <c r="F11" i="9"/>
  <c r="F184" i="9" s="1"/>
  <c r="F186" i="9" s="1"/>
  <c r="F200" i="9"/>
  <c r="J4" i="9"/>
  <c r="J202" i="9" s="1"/>
  <c r="I4" i="9"/>
  <c r="I37" i="9" s="1"/>
  <c r="H4" i="9"/>
  <c r="H149" i="9" s="1"/>
  <c r="G4" i="9"/>
  <c r="F4" i="9"/>
  <c r="F188" i="9" s="1"/>
  <c r="J192" i="9"/>
  <c r="I192" i="9"/>
  <c r="H192" i="9"/>
  <c r="G192" i="9"/>
  <c r="F192" i="9"/>
  <c r="E200" i="9"/>
  <c r="N198" i="9"/>
  <c r="M198" i="9"/>
  <c r="L198" i="9"/>
  <c r="K198" i="9"/>
  <c r="J198" i="9"/>
  <c r="H7" i="9"/>
  <c r="G7" i="9"/>
  <c r="G177" i="9" s="1"/>
  <c r="F7" i="9"/>
  <c r="L125" i="9"/>
  <c r="M124" i="9" s="1"/>
  <c r="K125" i="9"/>
  <c r="J125" i="9"/>
  <c r="K124" i="9" s="1"/>
  <c r="I125" i="9"/>
  <c r="H125" i="9"/>
  <c r="G125" i="9"/>
  <c r="F125" i="9"/>
  <c r="L136" i="9"/>
  <c r="K136" i="9"/>
  <c r="I136" i="9"/>
  <c r="J137" i="9" s="1"/>
  <c r="H136" i="9"/>
  <c r="G136" i="9"/>
  <c r="F136" i="9"/>
  <c r="E7" i="9"/>
  <c r="E8" i="9" s="1"/>
  <c r="D125" i="9"/>
  <c r="E124" i="9" s="1"/>
  <c r="E125" i="9"/>
  <c r="D177" i="9"/>
  <c r="E4" i="9"/>
  <c r="E149" i="9" s="1"/>
  <c r="D149" i="9"/>
  <c r="P99" i="9"/>
  <c r="P101" i="9"/>
  <c r="M161" i="9"/>
  <c r="L161" i="9"/>
  <c r="K161" i="9"/>
  <c r="J161" i="9"/>
  <c r="I161" i="9"/>
  <c r="H161" i="9"/>
  <c r="H162" i="9" s="1"/>
  <c r="G161" i="9"/>
  <c r="F161" i="9"/>
  <c r="E87" i="9"/>
  <c r="E101" i="9"/>
  <c r="D87" i="9"/>
  <c r="D101" i="9"/>
  <c r="C125" i="9"/>
  <c r="D124" i="9" s="1"/>
  <c r="M87" i="9"/>
  <c r="M94" i="9"/>
  <c r="M101" i="9" s="1"/>
  <c r="L87" i="9"/>
  <c r="L101" i="9"/>
  <c r="K87" i="9"/>
  <c r="K101" i="9"/>
  <c r="J87" i="9"/>
  <c r="J109" i="9" s="1"/>
  <c r="J158" i="9" s="1"/>
  <c r="J101" i="9"/>
  <c r="I87" i="9"/>
  <c r="I101" i="9"/>
  <c r="H87" i="9"/>
  <c r="H109" i="9" s="1"/>
  <c r="H101" i="9"/>
  <c r="G87" i="9"/>
  <c r="G101" i="9"/>
  <c r="G109" i="9" s="1"/>
  <c r="G158" i="9" s="1"/>
  <c r="F87" i="9"/>
  <c r="F101" i="9"/>
  <c r="E155" i="9"/>
  <c r="D155" i="9"/>
  <c r="L139" i="9"/>
  <c r="K139" i="9"/>
  <c r="I139" i="9"/>
  <c r="H139" i="9"/>
  <c r="G139" i="9"/>
  <c r="G141" i="9" s="1"/>
  <c r="F139" i="9"/>
  <c r="F141" i="9" s="1"/>
  <c r="E133" i="9"/>
  <c r="D133" i="9"/>
  <c r="C133" i="9"/>
  <c r="N132" i="9"/>
  <c r="M132" i="9"/>
  <c r="L132" i="9"/>
  <c r="K132" i="9"/>
  <c r="J132" i="9"/>
  <c r="I132" i="9"/>
  <c r="H132" i="9"/>
  <c r="G132" i="9"/>
  <c r="F132" i="9"/>
  <c r="E132" i="9"/>
  <c r="D132" i="9"/>
  <c r="E130" i="9"/>
  <c r="D130" i="9"/>
  <c r="J85" i="9"/>
  <c r="J99" i="9"/>
  <c r="J107" i="9" s="1"/>
  <c r="J86" i="9"/>
  <c r="I85" i="9"/>
  <c r="I99" i="9"/>
  <c r="I86" i="9"/>
  <c r="I100" i="9"/>
  <c r="H85" i="9"/>
  <c r="H99" i="9"/>
  <c r="H86" i="9"/>
  <c r="H100" i="9"/>
  <c r="G85" i="9"/>
  <c r="G99" i="9"/>
  <c r="G86" i="9"/>
  <c r="G100" i="9"/>
  <c r="F85" i="9"/>
  <c r="F99" i="9"/>
  <c r="F86" i="9"/>
  <c r="F100" i="9"/>
  <c r="E85" i="9"/>
  <c r="E107" i="9" s="1"/>
  <c r="E99" i="9"/>
  <c r="E86" i="9"/>
  <c r="E100" i="9"/>
  <c r="E108" i="9" s="1"/>
  <c r="D85" i="9"/>
  <c r="D107" i="9" s="1"/>
  <c r="D99" i="9"/>
  <c r="D86" i="9"/>
  <c r="D100" i="9"/>
  <c r="M85" i="9"/>
  <c r="M99" i="9"/>
  <c r="M86" i="9"/>
  <c r="L85" i="9"/>
  <c r="L99" i="9"/>
  <c r="L86" i="9"/>
  <c r="K85" i="9"/>
  <c r="K99" i="9"/>
  <c r="K86" i="9"/>
  <c r="B71" i="9"/>
  <c r="B79" i="9" s="1"/>
  <c r="B86" i="9" s="1"/>
  <c r="B93" i="9"/>
  <c r="B100" i="9" s="1"/>
  <c r="B108" i="9" s="1"/>
  <c r="B116" i="9" s="1"/>
  <c r="B70" i="9"/>
  <c r="B78" i="9" s="1"/>
  <c r="B85" i="9" s="1"/>
  <c r="B92" i="9" s="1"/>
  <c r="B99" i="9" s="1"/>
  <c r="B107" i="9" s="1"/>
  <c r="B115" i="9" s="1"/>
  <c r="M65" i="9"/>
  <c r="M50" i="9" s="1"/>
  <c r="L65" i="9"/>
  <c r="K65" i="9"/>
  <c r="K50" i="9" s="1"/>
  <c r="K51" i="9" s="1"/>
  <c r="J65" i="9"/>
  <c r="J70" i="9" s="1"/>
  <c r="B72" i="9"/>
  <c r="B80" i="9" s="1"/>
  <c r="B87" i="9" s="1"/>
  <c r="B94" i="9" s="1"/>
  <c r="B101" i="9" s="1"/>
  <c r="B109" i="9" s="1"/>
  <c r="Q87" i="9"/>
  <c r="P87" i="9"/>
  <c r="O87" i="9"/>
  <c r="P86" i="9"/>
  <c r="O86" i="9"/>
  <c r="P85" i="9"/>
  <c r="O85" i="9"/>
  <c r="I65" i="9"/>
  <c r="I67" i="9" s="1"/>
  <c r="H65" i="9"/>
  <c r="G65" i="9"/>
  <c r="G71" i="9" s="1"/>
  <c r="F65" i="9"/>
  <c r="E65" i="9"/>
  <c r="D65" i="9"/>
  <c r="D70" i="9" s="1"/>
  <c r="C65" i="9"/>
  <c r="C50" i="9" s="1"/>
  <c r="F44" i="9"/>
  <c r="E44" i="9" s="1"/>
  <c r="D44" i="9" s="1"/>
  <c r="C44" i="9" s="1"/>
  <c r="S47" i="9"/>
  <c r="T47" i="9" s="1"/>
  <c r="U47" i="9" s="1"/>
  <c r="V47" i="9" s="1"/>
  <c r="W47" i="9" s="1"/>
  <c r="X47" i="9" s="1"/>
  <c r="Y47" i="9" s="1"/>
  <c r="Z47" i="9" s="1"/>
  <c r="AA47" i="9" s="1"/>
  <c r="C42" i="9"/>
  <c r="H26" i="9"/>
  <c r="G26" i="9"/>
  <c r="F26" i="9"/>
  <c r="E26" i="9"/>
  <c r="C24" i="9"/>
  <c r="E11" i="9"/>
  <c r="D15" i="9"/>
  <c r="D13" i="9"/>
  <c r="D9" i="9"/>
  <c r="L147" i="5"/>
  <c r="L230" i="5" s="1"/>
  <c r="L394" i="5" s="1"/>
  <c r="K230" i="5"/>
  <c r="K394" i="5" s="1"/>
  <c r="M131" i="5"/>
  <c r="M331" i="5"/>
  <c r="L362" i="5"/>
  <c r="L391" i="5" s="1"/>
  <c r="K131" i="5"/>
  <c r="K362" i="5" s="1"/>
  <c r="J391" i="5"/>
  <c r="I391" i="5"/>
  <c r="H391" i="5"/>
  <c r="G391" i="5"/>
  <c r="F391" i="5"/>
  <c r="E391" i="5"/>
  <c r="D391" i="5"/>
  <c r="C391" i="5"/>
  <c r="R367" i="5"/>
  <c r="Q367" i="5"/>
  <c r="P324" i="5"/>
  <c r="O324" i="5"/>
  <c r="O308" i="5"/>
  <c r="N324" i="5"/>
  <c r="L229" i="5"/>
  <c r="O140" i="8" s="1"/>
  <c r="L124" i="5"/>
  <c r="L174" i="5"/>
  <c r="L367" i="5"/>
  <c r="K119" i="5"/>
  <c r="K228" i="5" s="1"/>
  <c r="K229" i="5"/>
  <c r="N140" i="8" s="1"/>
  <c r="K124" i="5"/>
  <c r="K174" i="5"/>
  <c r="K190" i="5" s="1"/>
  <c r="K367" i="5"/>
  <c r="M324" i="5"/>
  <c r="M156" i="5"/>
  <c r="M157" i="5" s="1"/>
  <c r="M168" i="5"/>
  <c r="M170" i="5"/>
  <c r="M171" i="5" s="1"/>
  <c r="M172" i="5"/>
  <c r="P334" i="5"/>
  <c r="P333" i="5"/>
  <c r="P358" i="5" s="1"/>
  <c r="P347" i="5"/>
  <c r="O334" i="5"/>
  <c r="O333" i="5"/>
  <c r="O358" i="5" s="1"/>
  <c r="O347" i="5"/>
  <c r="N335" i="5"/>
  <c r="N347" i="5"/>
  <c r="M335" i="5"/>
  <c r="M346" i="5"/>
  <c r="M347" i="5" s="1"/>
  <c r="L346" i="5"/>
  <c r="L347" i="5" s="1"/>
  <c r="K335" i="5"/>
  <c r="K346" i="5"/>
  <c r="K347" i="5" s="1"/>
  <c r="Q350" i="5"/>
  <c r="Q356" i="5"/>
  <c r="P356" i="5"/>
  <c r="O356" i="5"/>
  <c r="N356" i="5"/>
  <c r="M356" i="5"/>
  <c r="M357" i="5" s="1"/>
  <c r="L356" i="5"/>
  <c r="L357" i="5" s="1"/>
  <c r="K356" i="5"/>
  <c r="U301" i="5"/>
  <c r="V301" i="5" s="1"/>
  <c r="W301" i="5" s="1"/>
  <c r="X301" i="5" s="1"/>
  <c r="Y301" i="5" s="1"/>
  <c r="Z301" i="5" s="1"/>
  <c r="AA301" i="5" s="1"/>
  <c r="P352" i="5"/>
  <c r="O352" i="5"/>
  <c r="N352" i="5"/>
  <c r="M352" i="5"/>
  <c r="L352" i="5"/>
  <c r="K352" i="5"/>
  <c r="U351" i="5"/>
  <c r="V351" i="5" s="1"/>
  <c r="W351" i="5"/>
  <c r="X351" i="5" s="1"/>
  <c r="Y351" i="5" s="1"/>
  <c r="Z351" i="5" s="1"/>
  <c r="AA351" i="5" s="1"/>
  <c r="P340" i="5"/>
  <c r="O340" i="5"/>
  <c r="M340" i="5"/>
  <c r="L340" i="5"/>
  <c r="K340" i="5"/>
  <c r="L331" i="5"/>
  <c r="P327" i="5"/>
  <c r="O327" i="5"/>
  <c r="Q324" i="5"/>
  <c r="L324" i="5"/>
  <c r="Q294" i="5"/>
  <c r="P294" i="5"/>
  <c r="O294" i="5"/>
  <c r="L287" i="5"/>
  <c r="O21" i="8" s="1"/>
  <c r="K287" i="5"/>
  <c r="N21" i="8" s="1"/>
  <c r="K218" i="5"/>
  <c r="N133" i="8" s="1"/>
  <c r="J282" i="5"/>
  <c r="I282" i="5"/>
  <c r="H282" i="5"/>
  <c r="G221" i="5"/>
  <c r="G282" i="5" s="1"/>
  <c r="J281" i="5"/>
  <c r="I281" i="5"/>
  <c r="H254" i="5"/>
  <c r="H251" i="5" s="1"/>
  <c r="H252" i="5" s="1"/>
  <c r="G254" i="5"/>
  <c r="G251" i="5" s="1"/>
  <c r="B280" i="5"/>
  <c r="N279" i="5"/>
  <c r="M279" i="5"/>
  <c r="L279" i="5"/>
  <c r="K279" i="5"/>
  <c r="B230" i="5"/>
  <c r="B240" i="5" s="1"/>
  <c r="B248" i="5" s="1"/>
  <c r="M208" i="5"/>
  <c r="M229" i="5" s="1"/>
  <c r="P140" i="8" s="1"/>
  <c r="B229" i="5"/>
  <c r="B239" i="5" s="1"/>
  <c r="B247" i="5" s="1"/>
  <c r="B228" i="5"/>
  <c r="B238" i="5" s="1"/>
  <c r="B246" i="5" s="1"/>
  <c r="B276" i="5" s="1"/>
  <c r="J124" i="5"/>
  <c r="I124" i="5"/>
  <c r="B273" i="5"/>
  <c r="B272" i="5"/>
  <c r="B271" i="5"/>
  <c r="O262" i="5"/>
  <c r="M137" i="5"/>
  <c r="M218" i="5" s="1"/>
  <c r="P133" i="8" s="1"/>
  <c r="L253" i="5"/>
  <c r="K253" i="5"/>
  <c r="J252" i="5"/>
  <c r="J212" i="5" s="1"/>
  <c r="I252" i="5"/>
  <c r="L243" i="5"/>
  <c r="K243" i="5"/>
  <c r="J243" i="5"/>
  <c r="I243" i="5"/>
  <c r="H243" i="5"/>
  <c r="B232" i="5"/>
  <c r="B242" i="5" s="1"/>
  <c r="L234" i="5"/>
  <c r="J228" i="5"/>
  <c r="I228" i="5"/>
  <c r="H228" i="5"/>
  <c r="L224" i="5"/>
  <c r="M194" i="5"/>
  <c r="N194" i="5" s="1"/>
  <c r="O194" i="5" s="1"/>
  <c r="P194" i="5" s="1"/>
  <c r="Q194" i="5" s="1"/>
  <c r="R194" i="5" s="1"/>
  <c r="M196" i="5"/>
  <c r="M198" i="5"/>
  <c r="N198" i="5" s="1"/>
  <c r="O198" i="5" s="1"/>
  <c r="P198" i="5" s="1"/>
  <c r="Q198" i="5" s="1"/>
  <c r="R198" i="5" s="1"/>
  <c r="S198" i="5" s="1"/>
  <c r="T198" i="5" s="1"/>
  <c r="U198" i="5" s="1"/>
  <c r="V198" i="5" s="1"/>
  <c r="W198" i="5" s="1"/>
  <c r="X198" i="5" s="1"/>
  <c r="Y198" i="5" s="1"/>
  <c r="Z198" i="5" s="1"/>
  <c r="AA198" i="5" s="1"/>
  <c r="N200" i="5"/>
  <c r="O200" i="5" s="1"/>
  <c r="P200" i="5" s="1"/>
  <c r="Q200" i="5" s="1"/>
  <c r="R200" i="5" s="1"/>
  <c r="S200" i="5" s="1"/>
  <c r="T200" i="5" s="1"/>
  <c r="U200" i="5" s="1"/>
  <c r="V200" i="5" s="1"/>
  <c r="W200" i="5" s="1"/>
  <c r="X200" i="5" s="1"/>
  <c r="Y200" i="5" s="1"/>
  <c r="Z200" i="5" s="1"/>
  <c r="AA200" i="5" s="1"/>
  <c r="L205" i="5"/>
  <c r="K205" i="5"/>
  <c r="L199" i="5"/>
  <c r="L197" i="5"/>
  <c r="L195" i="5"/>
  <c r="O186" i="5"/>
  <c r="O185" i="5"/>
  <c r="P183" i="5"/>
  <c r="O184" i="5"/>
  <c r="P182" i="5"/>
  <c r="Q182" i="5" s="1"/>
  <c r="R182" i="5" s="1"/>
  <c r="S182" i="5" s="1"/>
  <c r="T182" i="5" s="1"/>
  <c r="U182" i="5"/>
  <c r="V182" i="5" s="1"/>
  <c r="W182" i="5" s="1"/>
  <c r="X182" i="5" s="1"/>
  <c r="Y182" i="5" s="1"/>
  <c r="Z182" i="5" s="1"/>
  <c r="AA182" i="5" s="1"/>
  <c r="O181" i="5"/>
  <c r="P180" i="5"/>
  <c r="O180" i="5"/>
  <c r="Q176" i="5"/>
  <c r="P176" i="5"/>
  <c r="L176" i="5"/>
  <c r="Q175" i="5"/>
  <c r="P175" i="5"/>
  <c r="Q173" i="5"/>
  <c r="P173" i="5"/>
  <c r="L173" i="5"/>
  <c r="Q171" i="5"/>
  <c r="P171" i="5"/>
  <c r="L171" i="5"/>
  <c r="Q169" i="5"/>
  <c r="P169" i="5"/>
  <c r="L169" i="5"/>
  <c r="L164" i="5"/>
  <c r="K164" i="5"/>
  <c r="K166" i="5" s="1"/>
  <c r="L157" i="5"/>
  <c r="L153" i="5"/>
  <c r="L133" i="5"/>
  <c r="S142" i="5"/>
  <c r="S143" i="5" s="1"/>
  <c r="Q142" i="5"/>
  <c r="P142" i="5"/>
  <c r="O142" i="5"/>
  <c r="N142" i="5"/>
  <c r="O143" i="5" s="1"/>
  <c r="M142" i="5"/>
  <c r="L142" i="5"/>
  <c r="K142" i="5"/>
  <c r="K144" i="5" s="1"/>
  <c r="J142" i="5"/>
  <c r="I142" i="5"/>
  <c r="R140" i="5"/>
  <c r="Q140" i="5"/>
  <c r="P140" i="5"/>
  <c r="O140" i="5"/>
  <c r="N140" i="5"/>
  <c r="M140" i="5"/>
  <c r="L140" i="5"/>
  <c r="K140" i="5"/>
  <c r="K136" i="5"/>
  <c r="V124" i="5"/>
  <c r="U124" i="5"/>
  <c r="T124" i="5"/>
  <c r="S124" i="5"/>
  <c r="R124" i="5"/>
  <c r="O46" i="5"/>
  <c r="P45" i="5"/>
  <c r="P67" i="5"/>
  <c r="N46" i="5"/>
  <c r="O45" i="5" s="1"/>
  <c r="O67" i="5"/>
  <c r="O79" i="5" s="1"/>
  <c r="M46" i="5"/>
  <c r="N45" i="5" s="1"/>
  <c r="N47" i="5" s="1"/>
  <c r="O48" i="5" s="1"/>
  <c r="N67" i="5"/>
  <c r="N79" i="5" s="1"/>
  <c r="N78" i="5" s="1"/>
  <c r="L46" i="5"/>
  <c r="M45" i="5"/>
  <c r="M67" i="5"/>
  <c r="K46" i="5"/>
  <c r="L45" i="5" s="1"/>
  <c r="L47" i="5" s="1"/>
  <c r="L67" i="5"/>
  <c r="L79" i="5" s="1"/>
  <c r="O90" i="5"/>
  <c r="N90" i="5"/>
  <c r="M90" i="5"/>
  <c r="L90" i="5"/>
  <c r="O89" i="5"/>
  <c r="N89" i="5"/>
  <c r="M89" i="5"/>
  <c r="Q60" i="5"/>
  <c r="P60" i="5"/>
  <c r="O60" i="5"/>
  <c r="N60" i="5"/>
  <c r="M60" i="5"/>
  <c r="J46" i="5"/>
  <c r="K45" i="5" s="1"/>
  <c r="I46" i="5"/>
  <c r="J45" i="5" s="1"/>
  <c r="J47" i="5" s="1"/>
  <c r="H46" i="5"/>
  <c r="I45" i="5" s="1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G46" i="5"/>
  <c r="H45" i="5" s="1"/>
  <c r="F46" i="5"/>
  <c r="G45" i="5" s="1"/>
  <c r="E46" i="5"/>
  <c r="D46" i="5"/>
  <c r="E45" i="5" s="1"/>
  <c r="C46" i="5"/>
  <c r="D45" i="5" s="1"/>
  <c r="Q36" i="5"/>
  <c r="P36" i="5"/>
  <c r="P37" i="5"/>
  <c r="P38" i="5"/>
  <c r="P39" i="5"/>
  <c r="P40" i="5"/>
  <c r="O36" i="5"/>
  <c r="O37" i="5"/>
  <c r="O38" i="5"/>
  <c r="O39" i="5"/>
  <c r="O40" i="5"/>
  <c r="N36" i="5"/>
  <c r="N37" i="5"/>
  <c r="N38" i="5"/>
  <c r="N39" i="5"/>
  <c r="N40" i="5"/>
  <c r="M36" i="5"/>
  <c r="M37" i="5"/>
  <c r="M38" i="5"/>
  <c r="M39" i="5"/>
  <c r="M40" i="5"/>
  <c r="L36" i="5"/>
  <c r="L37" i="5"/>
  <c r="L38" i="5"/>
  <c r="L39" i="5"/>
  <c r="L40" i="5"/>
  <c r="K36" i="5"/>
  <c r="K37" i="5"/>
  <c r="K38" i="5"/>
  <c r="K39" i="5"/>
  <c r="K40" i="5"/>
  <c r="J36" i="5"/>
  <c r="J37" i="5"/>
  <c r="J38" i="5"/>
  <c r="J39" i="5"/>
  <c r="J40" i="5"/>
  <c r="I36" i="5"/>
  <c r="I37" i="5"/>
  <c r="I38" i="5"/>
  <c r="I39" i="5"/>
  <c r="I40" i="5"/>
  <c r="H36" i="5"/>
  <c r="H37" i="5"/>
  <c r="H38" i="5"/>
  <c r="H39" i="5"/>
  <c r="H40" i="5"/>
  <c r="G36" i="5"/>
  <c r="G37" i="5"/>
  <c r="G38" i="5"/>
  <c r="G39" i="5"/>
  <c r="G40" i="5"/>
  <c r="F36" i="5"/>
  <c r="F37" i="5"/>
  <c r="F38" i="5"/>
  <c r="F39" i="5"/>
  <c r="F40" i="5"/>
  <c r="E36" i="5"/>
  <c r="E37" i="5"/>
  <c r="E38" i="5"/>
  <c r="E39" i="5"/>
  <c r="E40" i="5"/>
  <c r="D36" i="5"/>
  <c r="D37" i="5"/>
  <c r="D38" i="5"/>
  <c r="D39" i="5"/>
  <c r="D40" i="5"/>
  <c r="B25" i="5"/>
  <c r="B33" i="5" s="1"/>
  <c r="B40" i="5" s="1"/>
  <c r="B24" i="5"/>
  <c r="B32" i="5" s="1"/>
  <c r="B39" i="5" s="1"/>
  <c r="B23" i="5"/>
  <c r="B31" i="5" s="1"/>
  <c r="B38" i="5" s="1"/>
  <c r="B22" i="5"/>
  <c r="B30" i="5" s="1"/>
  <c r="B37" i="5"/>
  <c r="B21" i="5"/>
  <c r="B29" i="5" s="1"/>
  <c r="B36" i="5" s="1"/>
  <c r="O16" i="5"/>
  <c r="N16" i="5"/>
  <c r="M16" i="5"/>
  <c r="L16" i="5"/>
  <c r="L26" i="5" s="1"/>
  <c r="K16" i="5"/>
  <c r="J16" i="5"/>
  <c r="J7" i="5" s="1"/>
  <c r="I16" i="5"/>
  <c r="H16" i="5"/>
  <c r="H32" i="5" s="1"/>
  <c r="G16" i="5"/>
  <c r="G25" i="5" s="1"/>
  <c r="F16" i="5"/>
  <c r="E16" i="5"/>
  <c r="D16" i="5"/>
  <c r="E29" i="5" s="1"/>
  <c r="C16" i="5"/>
  <c r="K4" i="5"/>
  <c r="X17" i="8"/>
  <c r="X35" i="8"/>
  <c r="X57" i="8" s="1"/>
  <c r="X71" i="8" s="1"/>
  <c r="X108" i="8" s="1"/>
  <c r="X121" i="8" s="1"/>
  <c r="X129" i="8" s="1"/>
  <c r="X155" i="8" s="1"/>
  <c r="X171" i="8" s="1"/>
  <c r="X221" i="8" s="1"/>
  <c r="X341" i="8" s="1"/>
  <c r="B142" i="8"/>
  <c r="B191" i="8" s="1"/>
  <c r="B141" i="8"/>
  <c r="B140" i="8"/>
  <c r="B148" i="8" s="1"/>
  <c r="B139" i="8"/>
  <c r="B147" i="8" s="1"/>
  <c r="C179" i="8"/>
  <c r="C172" i="8"/>
  <c r="C175" i="8"/>
  <c r="C174" i="8"/>
  <c r="O144" i="8"/>
  <c r="N144" i="8"/>
  <c r="O137" i="8"/>
  <c r="N137" i="8"/>
  <c r="T7" i="8"/>
  <c r="T25" i="8" s="1"/>
  <c r="S7" i="8"/>
  <c r="S25" i="8" s="1"/>
  <c r="R7" i="8"/>
  <c r="R25" i="8" s="1"/>
  <c r="Q7" i="8"/>
  <c r="Q25" i="8" s="1"/>
  <c r="P7" i="8"/>
  <c r="O7" i="8"/>
  <c r="O25" i="8" s="1"/>
  <c r="N7" i="8"/>
  <c r="N119" i="8" s="1"/>
  <c r="N116" i="8"/>
  <c r="T110" i="8"/>
  <c r="T111" i="8"/>
  <c r="S110" i="8"/>
  <c r="S111" i="8"/>
  <c r="R110" i="8"/>
  <c r="R111" i="8"/>
  <c r="P111" i="8"/>
  <c r="O111" i="8"/>
  <c r="N111" i="8"/>
  <c r="O43" i="8"/>
  <c r="N43" i="8"/>
  <c r="O18" i="8"/>
  <c r="O41" i="8" s="1"/>
  <c r="N18" i="8"/>
  <c r="N41" i="8" s="1"/>
  <c r="O38" i="8"/>
  <c r="T36" i="8"/>
  <c r="T37" i="8"/>
  <c r="S36" i="8"/>
  <c r="S37" i="8" s="1"/>
  <c r="R36" i="8"/>
  <c r="R37" i="8" s="1"/>
  <c r="Q36" i="8"/>
  <c r="Q37" i="8" s="1"/>
  <c r="P36" i="8"/>
  <c r="P37" i="8" s="1"/>
  <c r="O36" i="8"/>
  <c r="O37" i="8" s="1"/>
  <c r="N36" i="8"/>
  <c r="N37" i="8" s="1"/>
  <c r="T33" i="8"/>
  <c r="S33" i="8"/>
  <c r="R33" i="8"/>
  <c r="Q33" i="8"/>
  <c r="P33" i="8"/>
  <c r="O33" i="8"/>
  <c r="N33" i="8"/>
  <c r="T28" i="8"/>
  <c r="S28" i="8"/>
  <c r="R28" i="8"/>
  <c r="T27" i="8"/>
  <c r="S27" i="8"/>
  <c r="R27" i="8"/>
  <c r="Q27" i="8"/>
  <c r="P27" i="8"/>
  <c r="O27" i="8"/>
  <c r="N27" i="8"/>
  <c r="O19" i="8"/>
  <c r="N19" i="8"/>
  <c r="X21" i="8"/>
  <c r="W21" i="8"/>
  <c r="T20" i="8"/>
  <c r="S20" i="8"/>
  <c r="R20" i="8"/>
  <c r="P20" i="8"/>
  <c r="O20" i="8"/>
  <c r="N20" i="8"/>
  <c r="O16" i="8"/>
  <c r="T11" i="8"/>
  <c r="S11" i="8"/>
  <c r="R11" i="8"/>
  <c r="Q11" i="8"/>
  <c r="O8" i="8"/>
  <c r="T3" i="8"/>
  <c r="T4" i="8" s="1"/>
  <c r="S3" i="8"/>
  <c r="S4" i="8" s="1"/>
  <c r="R3" i="8"/>
  <c r="R4" i="8"/>
  <c r="Q3" i="8"/>
  <c r="Q4" i="8" s="1"/>
  <c r="P3" i="8"/>
  <c r="P4" i="8" s="1"/>
  <c r="O3" i="8"/>
  <c r="O4" i="8" s="1"/>
  <c r="N3" i="8"/>
  <c r="N4" i="8" s="1"/>
  <c r="M70" i="9"/>
  <c r="U326" i="5"/>
  <c r="V326" i="5" s="1"/>
  <c r="W326" i="5" s="1"/>
  <c r="X326" i="5" s="1"/>
  <c r="Y326" i="5" s="1"/>
  <c r="Z326" i="5" s="1"/>
  <c r="AA326" i="5" s="1"/>
  <c r="P24" i="5"/>
  <c r="K39" i="9"/>
  <c r="J273" i="5"/>
  <c r="E738" i="7"/>
  <c r="K184" i="9"/>
  <c r="K203" i="9" s="1"/>
  <c r="M184" i="9"/>
  <c r="J25" i="5"/>
  <c r="S179" i="5"/>
  <c r="T179" i="5" s="1"/>
  <c r="U179" i="5" s="1"/>
  <c r="V179" i="5" s="1"/>
  <c r="W179" i="5" s="1"/>
  <c r="X179" i="5" s="1"/>
  <c r="Y179" i="5" s="1"/>
  <c r="Z179" i="5" s="1"/>
  <c r="AA179" i="5" s="1"/>
  <c r="Q186" i="5"/>
  <c r="K21" i="5"/>
  <c r="P124" i="9"/>
  <c r="K151" i="5"/>
  <c r="K150" i="5" s="1"/>
  <c r="I177" i="9"/>
  <c r="E50" i="9"/>
  <c r="E67" i="9"/>
  <c r="D7" i="5"/>
  <c r="S230" i="9"/>
  <c r="L12" i="9"/>
  <c r="C747" i="7" s="1"/>
  <c r="U339" i="5"/>
  <c r="V339" i="5" s="1"/>
  <c r="W339" i="5" s="1"/>
  <c r="X339" i="5" s="1"/>
  <c r="Y339" i="5" s="1"/>
  <c r="Z339" i="5" s="1"/>
  <c r="AA339" i="5" s="1"/>
  <c r="U334" i="5"/>
  <c r="V334" i="5" s="1"/>
  <c r="Q37" i="5"/>
  <c r="Q40" i="5"/>
  <c r="Q38" i="5"/>
  <c r="Q39" i="5"/>
  <c r="R39" i="5"/>
  <c r="R38" i="5"/>
  <c r="R40" i="5"/>
  <c r="R36" i="5"/>
  <c r="U36" i="8"/>
  <c r="U37" i="8" s="1"/>
  <c r="R46" i="5"/>
  <c r="S45" i="5" s="1"/>
  <c r="S47" i="5" s="1"/>
  <c r="S48" i="5" s="1"/>
  <c r="R37" i="5"/>
  <c r="R99" i="9"/>
  <c r="Q85" i="9"/>
  <c r="Q86" i="9"/>
  <c r="R86" i="9"/>
  <c r="S99" i="9"/>
  <c r="R85" i="9"/>
  <c r="S101" i="9"/>
  <c r="R125" i="9"/>
  <c r="S124" i="9" s="1"/>
  <c r="R87" i="9"/>
  <c r="J123" i="5"/>
  <c r="O132" i="9"/>
  <c r="M23" i="5"/>
  <c r="E26" i="5"/>
  <c r="E7" i="5"/>
  <c r="K202" i="9"/>
  <c r="P184" i="9"/>
  <c r="B189" i="8"/>
  <c r="N21" i="5"/>
  <c r="N24" i="5"/>
  <c r="N9" i="9"/>
  <c r="E743" i="7" s="1"/>
  <c r="Q39" i="8"/>
  <c r="K23" i="5"/>
  <c r="H255" i="5"/>
  <c r="H256" i="5" s="1"/>
  <c r="N37" i="9"/>
  <c r="N149" i="9"/>
  <c r="K13" i="9"/>
  <c r="I9" i="9"/>
  <c r="D71" i="9"/>
  <c r="AQ276" i="1"/>
  <c r="Q18" i="5"/>
  <c r="P21" i="5"/>
  <c r="P23" i="5"/>
  <c r="P25" i="5"/>
  <c r="P7" i="5"/>
  <c r="I21" i="5"/>
  <c r="I24" i="5"/>
  <c r="L25" i="5"/>
  <c r="L335" i="5"/>
  <c r="K256" i="5"/>
  <c r="C406" i="7" s="1"/>
  <c r="I22" i="5"/>
  <c r="S39" i="8"/>
  <c r="J21" i="5"/>
  <c r="Q32" i="5"/>
  <c r="I26" i="5"/>
  <c r="I273" i="5"/>
  <c r="P22" i="5"/>
  <c r="P132" i="9"/>
  <c r="N33" i="6"/>
  <c r="F189" i="9"/>
  <c r="F190" i="9" s="1"/>
  <c r="D741" i="7"/>
  <c r="M38" i="9"/>
  <c r="O70" i="9"/>
  <c r="O72" i="9"/>
  <c r="M8" i="9"/>
  <c r="D742" i="7" s="1"/>
  <c r="G38" i="9"/>
  <c r="F124" i="9"/>
  <c r="H37" i="9"/>
  <c r="H202" i="9"/>
  <c r="F72" i="9"/>
  <c r="D72" i="9"/>
  <c r="D66" i="9"/>
  <c r="D50" i="9"/>
  <c r="J149" i="9"/>
  <c r="C741" i="7"/>
  <c r="L38" i="9"/>
  <c r="L177" i="9"/>
  <c r="L164" i="9" s="1"/>
  <c r="P70" i="9"/>
  <c r="F108" i="9"/>
  <c r="E126" i="9"/>
  <c r="K28" i="9"/>
  <c r="M25" i="5"/>
  <c r="J22" i="5"/>
  <c r="J33" i="5"/>
  <c r="S119" i="8"/>
  <c r="N31" i="5"/>
  <c r="R47" i="5"/>
  <c r="J31" i="5"/>
  <c r="M362" i="5"/>
  <c r="M391" i="5"/>
  <c r="J30" i="5"/>
  <c r="N32" i="5"/>
  <c r="L190" i="5"/>
  <c r="H72" i="9"/>
  <c r="H66" i="9"/>
  <c r="H50" i="9"/>
  <c r="I66" i="9"/>
  <c r="H67" i="9"/>
  <c r="T142" i="5"/>
  <c r="T131" i="9"/>
  <c r="T26" i="9" s="1"/>
  <c r="J72" i="9"/>
  <c r="R39" i="8"/>
  <c r="O30" i="5"/>
  <c r="K331" i="5"/>
  <c r="K391" i="5"/>
  <c r="J131" i="5"/>
  <c r="J331" i="5" s="1"/>
  <c r="N39" i="9"/>
  <c r="N13" i="9"/>
  <c r="E748" i="7" s="1"/>
  <c r="N184" i="9"/>
  <c r="O184" i="9" s="1"/>
  <c r="K153" i="5"/>
  <c r="W52" i="5"/>
  <c r="I39" i="9"/>
  <c r="J28" i="9"/>
  <c r="B188" i="8"/>
  <c r="B150" i="8"/>
  <c r="I124" i="9"/>
  <c r="I126" i="9"/>
  <c r="F149" i="9"/>
  <c r="L184" i="9"/>
  <c r="L203" i="9" s="1"/>
  <c r="L39" i="9"/>
  <c r="C746" i="7"/>
  <c r="N15" i="9"/>
  <c r="N17" i="9" s="1"/>
  <c r="E755" i="7" s="1"/>
  <c r="CL150" i="1"/>
  <c r="G22" i="5"/>
  <c r="G7" i="5"/>
  <c r="J26" i="5"/>
  <c r="J24" i="5"/>
  <c r="J17" i="5"/>
  <c r="D67" i="9"/>
  <c r="D78" i="9" s="1"/>
  <c r="K288" i="5"/>
  <c r="K272" i="5"/>
  <c r="K273" i="5"/>
  <c r="L273" i="5"/>
  <c r="T116" i="8"/>
  <c r="L15" i="9"/>
  <c r="C753" i="7" s="1"/>
  <c r="K31" i="5"/>
  <c r="G24" i="5"/>
  <c r="J18" i="5"/>
  <c r="G26" i="5"/>
  <c r="L122" i="5"/>
  <c r="L246" i="5" s="1"/>
  <c r="J29" i="5"/>
  <c r="N22" i="8"/>
  <c r="N23" i="8" s="1"/>
  <c r="E31" i="5"/>
  <c r="P39" i="8"/>
  <c r="O47" i="5"/>
  <c r="O57" i="5" s="1"/>
  <c r="L166" i="5"/>
  <c r="M153" i="5"/>
  <c r="N131" i="5"/>
  <c r="O131" i="5" s="1"/>
  <c r="G137" i="9"/>
  <c r="L143" i="9"/>
  <c r="K149" i="9"/>
  <c r="K162" i="9" s="1"/>
  <c r="O71" i="9"/>
  <c r="O75" i="9" s="1"/>
  <c r="O50" i="9"/>
  <c r="F24" i="5"/>
  <c r="N309" i="5"/>
  <c r="Q116" i="8" s="1"/>
  <c r="K177" i="9"/>
  <c r="K38" i="9"/>
  <c r="K40" i="9" s="1"/>
  <c r="K15" i="9"/>
  <c r="D407" i="7"/>
  <c r="Q26" i="9"/>
  <c r="H281" i="5"/>
  <c r="H123" i="5"/>
  <c r="H273" i="5"/>
  <c r="L217" i="5"/>
  <c r="O132" i="8" s="1"/>
  <c r="L191" i="5"/>
  <c r="N186" i="9"/>
  <c r="N188" i="9"/>
  <c r="L186" i="9"/>
  <c r="K180" i="9"/>
  <c r="R16" i="8"/>
  <c r="N331" i="5"/>
  <c r="U345" i="5"/>
  <c r="J153" i="5"/>
  <c r="H79" i="9"/>
  <c r="DE125" i="1"/>
  <c r="D219" i="1"/>
  <c r="D217" i="1"/>
  <c r="D213" i="1"/>
  <c r="D214" i="1"/>
  <c r="D222" i="1"/>
  <c r="D224" i="1"/>
  <c r="D223" i="1"/>
  <c r="S36" i="5"/>
  <c r="V36" i="8"/>
  <c r="V37" i="8" s="1"/>
  <c r="S46" i="5"/>
  <c r="T45" i="5" s="1"/>
  <c r="S87" i="9"/>
  <c r="T101" i="9"/>
  <c r="S125" i="9"/>
  <c r="T124" i="9" s="1"/>
  <c r="U33" i="8"/>
  <c r="R343" i="5"/>
  <c r="DE123" i="1"/>
  <c r="DE122" i="1"/>
  <c r="U7" i="8"/>
  <c r="U119" i="8" s="1"/>
  <c r="R356" i="5"/>
  <c r="R357" i="5" s="1"/>
  <c r="L13" i="6"/>
  <c r="R324" i="5"/>
  <c r="U27" i="8"/>
  <c r="AT286" i="1"/>
  <c r="AT235" i="1" s="1"/>
  <c r="DE191" i="1"/>
  <c r="DE193" i="1"/>
  <c r="V33" i="8"/>
  <c r="S343" i="5"/>
  <c r="V27" i="8"/>
  <c r="V7" i="8"/>
  <c r="V119" i="8" s="1"/>
  <c r="S324" i="5"/>
  <c r="S327" i="5"/>
  <c r="M13" i="6"/>
  <c r="S356" i="5"/>
  <c r="AQ291" i="1" l="1"/>
  <c r="AQ278" i="1"/>
  <c r="AW291" i="1"/>
  <c r="AW278" i="1"/>
  <c r="I22" i="1"/>
  <c r="I74" i="1"/>
  <c r="I68" i="7" s="1"/>
  <c r="U72" i="1"/>
  <c r="AP157" i="1"/>
  <c r="AR30" i="1"/>
  <c r="AN2" i="13"/>
  <c r="AN169" i="13" s="1"/>
  <c r="G169" i="13"/>
  <c r="G74" i="1"/>
  <c r="G68" i="7" s="1"/>
  <c r="AW245" i="1"/>
  <c r="O131" i="12"/>
  <c r="O11" i="12" s="1"/>
  <c r="O22" i="12" s="1"/>
  <c r="O137" i="12"/>
  <c r="P131" i="12"/>
  <c r="P11" i="12" s="1"/>
  <c r="P137" i="12"/>
  <c r="AO10" i="1"/>
  <c r="AC284" i="1"/>
  <c r="AP30" i="1"/>
  <c r="AL30" i="1"/>
  <c r="AO154" i="1"/>
  <c r="AO16" i="1"/>
  <c r="AO20" i="1" s="1"/>
  <c r="E121" i="13"/>
  <c r="Z22" i="1"/>
  <c r="Z55" i="1" s="1"/>
  <c r="BA236" i="1"/>
  <c r="AL134" i="1"/>
  <c r="AL135" i="1" s="1"/>
  <c r="O233" i="5"/>
  <c r="R43" i="8" s="1"/>
  <c r="O147" i="8"/>
  <c r="O44" i="8"/>
  <c r="L267" i="5"/>
  <c r="G33" i="6"/>
  <c r="N316" i="5"/>
  <c r="L272" i="5"/>
  <c r="J50" i="9"/>
  <c r="J51" i="9" s="1"/>
  <c r="J54" i="9" s="1"/>
  <c r="J55" i="9" s="1"/>
  <c r="J57" i="9" s="1"/>
  <c r="AD36" i="1"/>
  <c r="AD39" i="1" s="1"/>
  <c r="AD41" i="1" s="1"/>
  <c r="Q72" i="9"/>
  <c r="P126" i="9"/>
  <c r="I30" i="5"/>
  <c r="M47" i="5"/>
  <c r="C51" i="9"/>
  <c r="G108" i="9"/>
  <c r="D109" i="9"/>
  <c r="D158" i="9" s="1"/>
  <c r="D161" i="9" s="1"/>
  <c r="D164" i="9" s="1"/>
  <c r="J197" i="9"/>
  <c r="L282" i="5"/>
  <c r="D212" i="7" s="1"/>
  <c r="C1027" i="7"/>
  <c r="L151" i="5"/>
  <c r="Q132" i="9"/>
  <c r="AO30" i="1"/>
  <c r="R187" i="5"/>
  <c r="S352" i="5"/>
  <c r="AW255" i="1"/>
  <c r="T317" i="5"/>
  <c r="L126" i="5"/>
  <c r="J9" i="9"/>
  <c r="M30" i="5"/>
  <c r="R132" i="9"/>
  <c r="O45" i="8"/>
  <c r="O49" i="8" s="1"/>
  <c r="R184" i="9"/>
  <c r="R11" i="9" s="1"/>
  <c r="D794" i="7" s="1"/>
  <c r="D810" i="7" s="1"/>
  <c r="S318" i="5"/>
  <c r="T149" i="9"/>
  <c r="T177" i="9"/>
  <c r="Q119" i="8"/>
  <c r="H23" i="5"/>
  <c r="Q70" i="9"/>
  <c r="I141" i="9"/>
  <c r="K357" i="5"/>
  <c r="H13" i="9"/>
  <c r="L192" i="9"/>
  <c r="N357" i="5"/>
  <c r="J750" i="7"/>
  <c r="G1022" i="7"/>
  <c r="AU30" i="1"/>
  <c r="DJ30" i="1" s="1"/>
  <c r="D125" i="12"/>
  <c r="E126" i="12" s="1"/>
  <c r="L185" i="9"/>
  <c r="AH152" i="1"/>
  <c r="J818" i="7" s="1"/>
  <c r="J821" i="7" s="1"/>
  <c r="H272" i="5"/>
  <c r="E177" i="9"/>
  <c r="E179" i="9" s="1"/>
  <c r="L256" i="5"/>
  <c r="J71" i="9"/>
  <c r="J37" i="9"/>
  <c r="I164" i="9"/>
  <c r="Q41" i="5"/>
  <c r="G47" i="5"/>
  <c r="I47" i="5"/>
  <c r="I50" i="5" s="1"/>
  <c r="I54" i="5" s="1"/>
  <c r="F109" i="9"/>
  <c r="L109" i="9"/>
  <c r="L158" i="9" s="1"/>
  <c r="G164" i="9"/>
  <c r="J193" i="9"/>
  <c r="G201" i="9"/>
  <c r="N107" i="9"/>
  <c r="Q47" i="5"/>
  <c r="AU32" i="1"/>
  <c r="AR296" i="1"/>
  <c r="C593" i="7"/>
  <c r="G593" i="7"/>
  <c r="D593" i="7"/>
  <c r="I593" i="7"/>
  <c r="F593" i="7"/>
  <c r="E593" i="7"/>
  <c r="AV137" i="1"/>
  <c r="DK137" i="1" s="1"/>
  <c r="AY291" i="1"/>
  <c r="AQ296" i="1"/>
  <c r="AQ235" i="1"/>
  <c r="AU162" i="1"/>
  <c r="AU296" i="1"/>
  <c r="AU235" i="1"/>
  <c r="AY236" i="1" s="1"/>
  <c r="R207" i="9"/>
  <c r="Y129" i="1"/>
  <c r="CG16" i="1"/>
  <c r="G49" i="7" s="1"/>
  <c r="G31" i="7" s="1"/>
  <c r="AJ10" i="1"/>
  <c r="AS152" i="1"/>
  <c r="AS296" i="1"/>
  <c r="AS298" i="1" s="1"/>
  <c r="AU233" i="1"/>
  <c r="AU278" i="1" s="1"/>
  <c r="C56" i="13"/>
  <c r="C88" i="13" s="1"/>
  <c r="C76" i="13" s="1"/>
  <c r="C103" i="13" s="1"/>
  <c r="C116" i="13" s="1"/>
  <c r="C33" i="13"/>
  <c r="C2" i="13" s="1"/>
  <c r="C169" i="13" s="1"/>
  <c r="N138" i="12"/>
  <c r="AT144" i="1"/>
  <c r="AT296" i="1"/>
  <c r="AT298" i="1" s="1"/>
  <c r="N31" i="12"/>
  <c r="F46" i="6"/>
  <c r="F51" i="6" s="1"/>
  <c r="G88" i="13"/>
  <c r="G76" i="13" s="1"/>
  <c r="G66" i="13"/>
  <c r="G97" i="13" s="1"/>
  <c r="H44" i="7"/>
  <c r="CJ105" i="1"/>
  <c r="E766" i="7" s="1"/>
  <c r="CR145" i="1"/>
  <c r="AT30" i="1"/>
  <c r="DI30" i="1" s="1"/>
  <c r="T174" i="5"/>
  <c r="DJ105" i="1"/>
  <c r="Y89" i="1"/>
  <c r="J58" i="7" s="1"/>
  <c r="AI137" i="1"/>
  <c r="K816" i="7" s="1"/>
  <c r="J540" i="7"/>
  <c r="J555" i="7" s="1"/>
  <c r="AK30" i="1"/>
  <c r="AN30" i="1"/>
  <c r="AT5" i="1"/>
  <c r="CI145" i="1"/>
  <c r="H540" i="7"/>
  <c r="H555" i="7" s="1"/>
  <c r="AA183" i="1"/>
  <c r="CL183" i="1" s="1"/>
  <c r="AJ30" i="1"/>
  <c r="AS30" i="1"/>
  <c r="CF125" i="1"/>
  <c r="F434" i="7" s="1"/>
  <c r="CX109" i="1"/>
  <c r="E815" i="7"/>
  <c r="E826" i="7" s="1"/>
  <c r="AH94" i="1"/>
  <c r="CG76" i="1"/>
  <c r="C370" i="7"/>
  <c r="H398" i="7" s="1"/>
  <c r="AY251" i="1"/>
  <c r="T147" i="9"/>
  <c r="T116" i="5"/>
  <c r="T120" i="5" s="1"/>
  <c r="DJ132" i="1"/>
  <c r="AY135" i="1"/>
  <c r="DJ134" i="1"/>
  <c r="CL109" i="1"/>
  <c r="CJ16" i="1"/>
  <c r="J49" i="7" s="1"/>
  <c r="J31" i="7" s="1"/>
  <c r="AV92" i="1"/>
  <c r="AW94" i="1"/>
  <c r="T68" i="5"/>
  <c r="U156" i="5"/>
  <c r="V156" i="5" s="1"/>
  <c r="W156" i="5" s="1"/>
  <c r="X156" i="5" s="1"/>
  <c r="Y156" i="5" s="1"/>
  <c r="Z156" i="5" s="1"/>
  <c r="AA156" i="5" s="1"/>
  <c r="AB156" i="5" s="1"/>
  <c r="T157" i="5"/>
  <c r="O125" i="7"/>
  <c r="Y27" i="1"/>
  <c r="T208" i="5"/>
  <c r="DJ109" i="1"/>
  <c r="AW190" i="1"/>
  <c r="DH190" i="1" s="1"/>
  <c r="T233" i="5"/>
  <c r="D289" i="7"/>
  <c r="D297" i="7" s="1"/>
  <c r="C302" i="7" s="1"/>
  <c r="G707" i="7"/>
  <c r="N17" i="7"/>
  <c r="D281" i="7"/>
  <c r="F281" i="7"/>
  <c r="D272" i="7"/>
  <c r="P17" i="7"/>
  <c r="N550" i="7"/>
  <c r="C290" i="7"/>
  <c r="C294" i="7"/>
  <c r="R89" i="5"/>
  <c r="D503" i="7"/>
  <c r="E353" i="7"/>
  <c r="D557" i="7"/>
  <c r="F559" i="7"/>
  <c r="T96" i="5"/>
  <c r="T90" i="5"/>
  <c r="R90" i="5"/>
  <c r="H4" i="7"/>
  <c r="F23" i="7" s="1"/>
  <c r="E281" i="7"/>
  <c r="F284" i="7"/>
  <c r="D370" i="7"/>
  <c r="H399" i="7" s="1"/>
  <c r="J10" i="7"/>
  <c r="H27" i="7" s="1"/>
  <c r="C778" i="7"/>
  <c r="CZ133" i="1"/>
  <c r="AK157" i="1"/>
  <c r="AM137" i="1"/>
  <c r="Q27" i="1"/>
  <c r="O130" i="7" s="1"/>
  <c r="Q20" i="1"/>
  <c r="O529" i="7"/>
  <c r="I44" i="7"/>
  <c r="E511" i="7"/>
  <c r="E521" i="7" s="1"/>
  <c r="W27" i="1"/>
  <c r="AJ137" i="1"/>
  <c r="L816" i="7" s="1"/>
  <c r="L817" i="7" s="1"/>
  <c r="T154" i="1"/>
  <c r="O11" i="9"/>
  <c r="O186" i="9"/>
  <c r="J58" i="9"/>
  <c r="K57" i="9"/>
  <c r="K58" i="9" s="1"/>
  <c r="L57" i="5"/>
  <c r="I80" i="9"/>
  <c r="I79" i="9"/>
  <c r="I78" i="9"/>
  <c r="L197" i="9"/>
  <c r="N362" i="5"/>
  <c r="N391" i="5" s="1"/>
  <c r="T119" i="8"/>
  <c r="U118" i="8" s="1"/>
  <c r="J201" i="9"/>
  <c r="F386" i="7"/>
  <c r="M72" i="9"/>
  <c r="D21" i="5"/>
  <c r="D22" i="5"/>
  <c r="D31" i="5"/>
  <c r="P335" i="5"/>
  <c r="H15" i="9"/>
  <c r="I202" i="9"/>
  <c r="N177" i="9"/>
  <c r="E741" i="7"/>
  <c r="K108" i="9"/>
  <c r="V25" i="8"/>
  <c r="O37" i="1"/>
  <c r="N203" i="9"/>
  <c r="L20" i="9"/>
  <c r="Z129" i="1"/>
  <c r="K17" i="9"/>
  <c r="D294" i="7"/>
  <c r="I256" i="5"/>
  <c r="F188" i="7"/>
  <c r="F192" i="7" s="1"/>
  <c r="E192" i="7"/>
  <c r="Z147" i="1"/>
  <c r="Z148" i="1" s="1"/>
  <c r="Z140" i="1" s="1"/>
  <c r="Z123" i="1"/>
  <c r="Z132" i="1" s="1"/>
  <c r="AK9" i="1"/>
  <c r="X45" i="7" s="1"/>
  <c r="R23" i="5"/>
  <c r="AW236" i="1"/>
  <c r="AX210" i="1"/>
  <c r="I5" i="9"/>
  <c r="F143" i="9"/>
  <c r="O309" i="5"/>
  <c r="S16" i="8" s="1"/>
  <c r="G8" i="9"/>
  <c r="D291" i="7"/>
  <c r="D290" i="7"/>
  <c r="H47" i="5"/>
  <c r="H48" i="5" s="1"/>
  <c r="K126" i="9"/>
  <c r="D777" i="7"/>
  <c r="F779" i="7" s="1"/>
  <c r="P116" i="8"/>
  <c r="J5" i="9"/>
  <c r="H184" i="9"/>
  <c r="G50" i="9"/>
  <c r="G51" i="9" s="1"/>
  <c r="D23" i="5"/>
  <c r="U27" i="1"/>
  <c r="S130" i="7" s="1"/>
  <c r="H33" i="6"/>
  <c r="C344" i="7" s="1"/>
  <c r="K47" i="5"/>
  <c r="L48" i="5" s="1"/>
  <c r="M28" i="9"/>
  <c r="I12" i="9"/>
  <c r="J2" i="5"/>
  <c r="H140" i="9"/>
  <c r="H51" i="9"/>
  <c r="M149" i="9"/>
  <c r="C126" i="9"/>
  <c r="C136" i="9" s="1"/>
  <c r="C139" i="9" s="1"/>
  <c r="C141" i="9" s="1"/>
  <c r="N25" i="8"/>
  <c r="N5" i="9"/>
  <c r="E739" i="7" s="1"/>
  <c r="G66" i="9"/>
  <c r="I149" i="9"/>
  <c r="M71" i="9"/>
  <c r="M18" i="5"/>
  <c r="K202" i="5"/>
  <c r="K203" i="5" s="1"/>
  <c r="Q357" i="5"/>
  <c r="D17" i="9"/>
  <c r="D20" i="9"/>
  <c r="H108" i="9"/>
  <c r="I108" i="9"/>
  <c r="O17" i="7"/>
  <c r="S126" i="9"/>
  <c r="V142" i="5"/>
  <c r="N153" i="5"/>
  <c r="K150" i="9"/>
  <c r="E15" i="9"/>
  <c r="E20" i="9" s="1"/>
  <c r="E21" i="9" s="1"/>
  <c r="K5" i="9"/>
  <c r="H39" i="9"/>
  <c r="G72" i="9"/>
  <c r="N29" i="5"/>
  <c r="D25" i="5"/>
  <c r="G124" i="5"/>
  <c r="E21" i="6"/>
  <c r="E25" i="6" s="1"/>
  <c r="N38" i="9"/>
  <c r="D293" i="7"/>
  <c r="G5" i="9"/>
  <c r="H8" i="9"/>
  <c r="K315" i="5"/>
  <c r="I122" i="5"/>
  <c r="I246" i="5" s="1"/>
  <c r="I267" i="5" s="1"/>
  <c r="I274" i="5" s="1"/>
  <c r="N17" i="5"/>
  <c r="O116" i="8"/>
  <c r="N8" i="9"/>
  <c r="E742" i="7" s="1"/>
  <c r="L31" i="5"/>
  <c r="F237" i="7"/>
  <c r="G70" i="9"/>
  <c r="G75" i="9" s="1"/>
  <c r="D738" i="7"/>
  <c r="AJ134" i="1"/>
  <c r="AJ135" i="1" s="1"/>
  <c r="AD16" i="1"/>
  <c r="AD20" i="1" s="1"/>
  <c r="K22" i="1"/>
  <c r="K55" i="1" s="1"/>
  <c r="BZ55" i="1" s="1"/>
  <c r="Q71" i="9"/>
  <c r="Q75" i="9" s="1"/>
  <c r="R67" i="9"/>
  <c r="R80" i="9" s="1"/>
  <c r="O119" i="8"/>
  <c r="O118" i="8" s="1"/>
  <c r="O114" i="8" s="1"/>
  <c r="K186" i="9"/>
  <c r="K188" i="9"/>
  <c r="Q352" i="5"/>
  <c r="Q326" i="5"/>
  <c r="Q327" i="5" s="1"/>
  <c r="K232" i="5"/>
  <c r="N142" i="8" s="1"/>
  <c r="E13" i="9"/>
  <c r="E104" i="9"/>
  <c r="K197" i="9"/>
  <c r="H551" i="7"/>
  <c r="S286" i="5"/>
  <c r="V20" i="8" s="1"/>
  <c r="DI189" i="1"/>
  <c r="AA148" i="1"/>
  <c r="C310" i="7"/>
  <c r="D308" i="7" s="1"/>
  <c r="E370" i="7"/>
  <c r="H400" i="7" s="1"/>
  <c r="O20" i="1"/>
  <c r="N144" i="5"/>
  <c r="X154" i="1"/>
  <c r="AI9" i="1"/>
  <c r="AT106" i="1"/>
  <c r="DE106" i="1" s="1"/>
  <c r="DI105" i="1"/>
  <c r="AT293" i="1"/>
  <c r="AX251" i="1"/>
  <c r="F126" i="9"/>
  <c r="F127" i="9" s="1"/>
  <c r="D30" i="5"/>
  <c r="L175" i="5"/>
  <c r="L107" i="9"/>
  <c r="F104" i="9"/>
  <c r="G104" i="9"/>
  <c r="H104" i="9"/>
  <c r="I104" i="9"/>
  <c r="I140" i="9"/>
  <c r="H137" i="9"/>
  <c r="H193" i="9"/>
  <c r="M202" i="9"/>
  <c r="I32" i="9"/>
  <c r="I208" i="9" s="1"/>
  <c r="M17" i="7"/>
  <c r="CE127" i="1"/>
  <c r="CF127" i="1"/>
  <c r="CG127" i="1"/>
  <c r="K9" i="9"/>
  <c r="O190" i="5"/>
  <c r="O217" i="5" s="1"/>
  <c r="R132" i="8" s="1"/>
  <c r="T20" i="1"/>
  <c r="AI158" i="1"/>
  <c r="AL10" i="1"/>
  <c r="R33" i="5"/>
  <c r="Q57" i="5"/>
  <c r="X52" i="5"/>
  <c r="Y52" i="5" s="1"/>
  <c r="I746" i="7"/>
  <c r="R39" i="9"/>
  <c r="I194" i="9"/>
  <c r="I17" i="9"/>
  <c r="I150" i="9"/>
  <c r="I167" i="9"/>
  <c r="F21" i="5"/>
  <c r="F26" i="5"/>
  <c r="F29" i="5"/>
  <c r="F18" i="5"/>
  <c r="F30" i="5"/>
  <c r="F33" i="5"/>
  <c r="F32" i="5"/>
  <c r="G18" i="5"/>
  <c r="G29" i="5"/>
  <c r="G33" i="5"/>
  <c r="F25" i="5"/>
  <c r="G184" i="9"/>
  <c r="G12" i="9"/>
  <c r="G15" i="9"/>
  <c r="H12" i="9"/>
  <c r="G13" i="9"/>
  <c r="J141" i="9"/>
  <c r="K141" i="9" s="1"/>
  <c r="L141" i="9" s="1"/>
  <c r="M141" i="9" s="1"/>
  <c r="N141" i="9" s="1"/>
  <c r="O141" i="9" s="1"/>
  <c r="P141" i="9" s="1"/>
  <c r="Q141" i="9" s="1"/>
  <c r="R141" i="9" s="1"/>
  <c r="S141" i="9" s="1"/>
  <c r="T141" i="9" s="1"/>
  <c r="U141" i="9" s="1"/>
  <c r="V141" i="9" s="1"/>
  <c r="J143" i="9"/>
  <c r="J140" i="9"/>
  <c r="N129" i="9"/>
  <c r="N130" i="9" s="1"/>
  <c r="M126" i="9"/>
  <c r="Q32" i="9"/>
  <c r="Q39" i="9"/>
  <c r="U352" i="5"/>
  <c r="V352" i="5" s="1"/>
  <c r="W352" i="5" s="1"/>
  <c r="X352" i="5" s="1"/>
  <c r="Y352" i="5" s="1"/>
  <c r="Z352" i="5" s="1"/>
  <c r="AA352" i="5" s="1"/>
  <c r="AV39" i="1"/>
  <c r="AV44" i="1" s="1"/>
  <c r="L93" i="9"/>
  <c r="F7" i="5"/>
  <c r="D18" i="5"/>
  <c r="L315" i="5"/>
  <c r="M129" i="9"/>
  <c r="M133" i="9" s="1"/>
  <c r="J75" i="9"/>
  <c r="E136" i="9"/>
  <c r="F23" i="5"/>
  <c r="R41" i="5"/>
  <c r="R78" i="9"/>
  <c r="N39" i="8"/>
  <c r="K25" i="5"/>
  <c r="K24" i="5"/>
  <c r="K7" i="5"/>
  <c r="K8" i="5" s="1"/>
  <c r="K26" i="5"/>
  <c r="K29" i="5"/>
  <c r="K33" i="5"/>
  <c r="O33" i="5"/>
  <c r="O22" i="5"/>
  <c r="P29" i="5"/>
  <c r="P18" i="5"/>
  <c r="P17" i="5"/>
  <c r="O18" i="5"/>
  <c r="K104" i="9"/>
  <c r="D104" i="9"/>
  <c r="D108" i="9"/>
  <c r="L129" i="9"/>
  <c r="L133" i="9" s="1"/>
  <c r="L180" i="9"/>
  <c r="J124" i="9"/>
  <c r="J126" i="9" s="1"/>
  <c r="K127" i="9" s="1"/>
  <c r="I193" i="9"/>
  <c r="J129" i="9"/>
  <c r="F177" i="9"/>
  <c r="F8" i="9"/>
  <c r="F15" i="9"/>
  <c r="F17" i="9" s="1"/>
  <c r="F9" i="9"/>
  <c r="H5" i="9"/>
  <c r="G149" i="9"/>
  <c r="G150" i="9" s="1"/>
  <c r="G143" i="9"/>
  <c r="G202" i="9"/>
  <c r="F203" i="9"/>
  <c r="F202" i="9"/>
  <c r="CK76" i="1"/>
  <c r="V78" i="1"/>
  <c r="CG78" i="1" s="1"/>
  <c r="D24" i="9"/>
  <c r="E2" i="9"/>
  <c r="D42" i="9"/>
  <c r="D122" i="9"/>
  <c r="D152" i="9" s="1"/>
  <c r="D182" i="9" s="1"/>
  <c r="D205" i="9" s="1"/>
  <c r="L37" i="9"/>
  <c r="L13" i="9"/>
  <c r="C748" i="7" s="1"/>
  <c r="L28" i="9"/>
  <c r="L5" i="9"/>
  <c r="C739" i="7" s="1"/>
  <c r="L17" i="9"/>
  <c r="C755" i="7" s="1"/>
  <c r="M39" i="9"/>
  <c r="M40" i="9" s="1"/>
  <c r="M13" i="9"/>
  <c r="D748" i="7" s="1"/>
  <c r="M32" i="9"/>
  <c r="M12" i="9"/>
  <c r="D747" i="7" s="1"/>
  <c r="N162" i="9"/>
  <c r="N158" i="5"/>
  <c r="N164" i="5" s="1"/>
  <c r="M164" i="5"/>
  <c r="Q90" i="5"/>
  <c r="E707" i="7"/>
  <c r="P38" i="8"/>
  <c r="N4" i="5"/>
  <c r="DC63" i="1"/>
  <c r="CY63" i="1"/>
  <c r="DA128" i="1"/>
  <c r="AP133" i="1"/>
  <c r="DA133" i="1" s="1"/>
  <c r="AQ16" i="1"/>
  <c r="AQ22" i="1" s="1"/>
  <c r="AQ36" i="1"/>
  <c r="AQ39" i="1" s="1"/>
  <c r="AQ41" i="1" s="1"/>
  <c r="AQ5" i="1"/>
  <c r="AC44" i="7" s="1"/>
  <c r="S360" i="5"/>
  <c r="S357" i="5"/>
  <c r="F746" i="7"/>
  <c r="O12" i="9"/>
  <c r="F747" i="7" s="1"/>
  <c r="R32" i="9"/>
  <c r="C794" i="7"/>
  <c r="C810" i="7" s="1"/>
  <c r="C345" i="7"/>
  <c r="I16" i="9"/>
  <c r="H194" i="9"/>
  <c r="F495" i="7"/>
  <c r="T132" i="9"/>
  <c r="R185" i="9"/>
  <c r="Q185" i="9"/>
  <c r="M316" i="5"/>
  <c r="E16" i="9"/>
  <c r="G180" i="9"/>
  <c r="S26" i="9"/>
  <c r="S149" i="9" s="1"/>
  <c r="G31" i="5"/>
  <c r="S185" i="9"/>
  <c r="L188" i="9"/>
  <c r="F557" i="7"/>
  <c r="I201" i="9"/>
  <c r="P31" i="5"/>
  <c r="N124" i="9"/>
  <c r="N126" i="9" s="1"/>
  <c r="N127" i="9" s="1"/>
  <c r="X13" i="8"/>
  <c r="Y13" i="8"/>
  <c r="K54" i="9"/>
  <c r="K55" i="9" s="1"/>
  <c r="K52" i="9"/>
  <c r="M15" i="9"/>
  <c r="F31" i="5"/>
  <c r="O550" i="7"/>
  <c r="D2111" i="2"/>
  <c r="R71" i="9"/>
  <c r="N154" i="9"/>
  <c r="H201" i="9"/>
  <c r="I165" i="9"/>
  <c r="G39" i="9"/>
  <c r="G40" i="9" s="1"/>
  <c r="H7" i="5"/>
  <c r="I17" i="5"/>
  <c r="I18" i="5"/>
  <c r="H26" i="5"/>
  <c r="H18" i="5"/>
  <c r="H21" i="5"/>
  <c r="H24" i="5"/>
  <c r="H29" i="5"/>
  <c r="H17" i="5"/>
  <c r="H25" i="5"/>
  <c r="H22" i="5"/>
  <c r="I33" i="5"/>
  <c r="L29" i="5"/>
  <c r="L30" i="5"/>
  <c r="L24" i="5"/>
  <c r="O39" i="8"/>
  <c r="P184" i="5"/>
  <c r="Q183" i="5"/>
  <c r="K70" i="9"/>
  <c r="K67" i="9"/>
  <c r="K71" i="9"/>
  <c r="L140" i="9"/>
  <c r="K140" i="9"/>
  <c r="K143" i="9"/>
  <c r="N2" i="5"/>
  <c r="M43" i="5"/>
  <c r="M214" i="5" s="1"/>
  <c r="E209" i="7" s="1"/>
  <c r="C214" i="7"/>
  <c r="G3" i="6"/>
  <c r="U16" i="8"/>
  <c r="F345" i="7"/>
  <c r="AJ198" i="1"/>
  <c r="F343" i="7"/>
  <c r="F353" i="7"/>
  <c r="F370" i="7"/>
  <c r="H401" i="7" s="1"/>
  <c r="F388" i="7"/>
  <c r="G44" i="7"/>
  <c r="F451" i="7"/>
  <c r="T184" i="9"/>
  <c r="T11" i="9" s="1"/>
  <c r="T32" i="9" s="1"/>
  <c r="L194" i="9"/>
  <c r="L193" i="9"/>
  <c r="L201" i="9"/>
  <c r="I20" i="9"/>
  <c r="P13" i="8"/>
  <c r="J100" i="9"/>
  <c r="E178" i="9"/>
  <c r="S132" i="9"/>
  <c r="D79" i="9"/>
  <c r="D80" i="9"/>
  <c r="K18" i="5"/>
  <c r="H30" i="5"/>
  <c r="B267" i="5"/>
  <c r="D559" i="7"/>
  <c r="F201" i="9"/>
  <c r="P32" i="5"/>
  <c r="P30" i="5"/>
  <c r="O29" i="5"/>
  <c r="H80" i="9"/>
  <c r="H78" i="9"/>
  <c r="H31" i="5"/>
  <c r="D345" i="7"/>
  <c r="L40" i="9"/>
  <c r="J147" i="9"/>
  <c r="J162" i="9"/>
  <c r="D33" i="5"/>
  <c r="K22" i="5"/>
  <c r="R70" i="9"/>
  <c r="R75" i="9" s="1"/>
  <c r="L21" i="5"/>
  <c r="D746" i="7"/>
  <c r="J4" i="5"/>
  <c r="N38" i="8"/>
  <c r="F22" i="5"/>
  <c r="N57" i="5"/>
  <c r="O58" i="5" s="1"/>
  <c r="N48" i="5"/>
  <c r="P47" i="5"/>
  <c r="P57" i="5" s="1"/>
  <c r="P58" i="5" s="1"/>
  <c r="M143" i="5"/>
  <c r="N143" i="5"/>
  <c r="R143" i="5"/>
  <c r="Q143" i="5"/>
  <c r="F12" i="9"/>
  <c r="E12" i="9"/>
  <c r="F67" i="9"/>
  <c r="G67" i="9"/>
  <c r="G79" i="9" s="1"/>
  <c r="F66" i="9"/>
  <c r="L71" i="9"/>
  <c r="L70" i="9"/>
  <c r="M67" i="9"/>
  <c r="M78" i="9" s="1"/>
  <c r="I129" i="9"/>
  <c r="I133" i="9" s="1"/>
  <c r="K201" i="9"/>
  <c r="K193" i="9"/>
  <c r="J13" i="9"/>
  <c r="J12" i="9"/>
  <c r="L30" i="9"/>
  <c r="L32" i="9"/>
  <c r="L208" i="9" s="1"/>
  <c r="S97" i="1"/>
  <c r="CD96" i="1"/>
  <c r="CH96" i="1"/>
  <c r="M147" i="5"/>
  <c r="M230" i="5" s="1"/>
  <c r="M394" i="5" s="1"/>
  <c r="S142" i="1"/>
  <c r="AI175" i="1"/>
  <c r="AI167" i="1"/>
  <c r="AL235" i="1"/>
  <c r="AL292" i="1" s="1"/>
  <c r="AL296" i="1"/>
  <c r="AL298" i="1" s="1"/>
  <c r="P39" i="1"/>
  <c r="P44" i="1" s="1"/>
  <c r="N109" i="8"/>
  <c r="K282" i="5"/>
  <c r="C212" i="7" s="1"/>
  <c r="K305" i="5"/>
  <c r="N31" i="8" s="1"/>
  <c r="F48" i="6"/>
  <c r="C215" i="7" s="1"/>
  <c r="L296" i="5"/>
  <c r="J43" i="6"/>
  <c r="E348" i="7" s="1"/>
  <c r="G382" i="7"/>
  <c r="G370" i="7" s="1"/>
  <c r="H402" i="7" s="1"/>
  <c r="G386" i="7"/>
  <c r="D165" i="9"/>
  <c r="D167" i="9"/>
  <c r="L239" i="5"/>
  <c r="D51" i="9"/>
  <c r="D52" i="9" s="1"/>
  <c r="N147" i="9"/>
  <c r="M31" i="5"/>
  <c r="M22" i="5"/>
  <c r="M7" i="5"/>
  <c r="M8" i="5" s="1"/>
  <c r="M26" i="5"/>
  <c r="M29" i="5"/>
  <c r="M21" i="5"/>
  <c r="M17" i="5"/>
  <c r="M33" i="5"/>
  <c r="N33" i="5"/>
  <c r="I143" i="9"/>
  <c r="I147" i="9" s="1"/>
  <c r="J177" i="9"/>
  <c r="J38" i="9"/>
  <c r="N28" i="9"/>
  <c r="N30" i="9"/>
  <c r="P8" i="8"/>
  <c r="K264" i="5"/>
  <c r="N152" i="8"/>
  <c r="T155" i="1"/>
  <c r="D906" i="7"/>
  <c r="C904" i="7" s="1"/>
  <c r="P71" i="9"/>
  <c r="Q66" i="9"/>
  <c r="P66" i="9"/>
  <c r="Q67" i="9"/>
  <c r="P50" i="9"/>
  <c r="Q144" i="5"/>
  <c r="CU93" i="1"/>
  <c r="AN172" i="1"/>
  <c r="AN197" i="1" s="1"/>
  <c r="AN200" i="1" s="1"/>
  <c r="D162" i="9"/>
  <c r="G29" i="6"/>
  <c r="CZ145" i="1"/>
  <c r="I28" i="9"/>
  <c r="P67" i="9"/>
  <c r="M32" i="5"/>
  <c r="M24" i="5"/>
  <c r="N45" i="8"/>
  <c r="H52" i="9"/>
  <c r="AO235" i="1"/>
  <c r="AO255" i="1" s="1"/>
  <c r="H124" i="5"/>
  <c r="H122" i="5" s="1"/>
  <c r="H126" i="5" s="1"/>
  <c r="H128" i="5" s="1"/>
  <c r="H129" i="5" s="1"/>
  <c r="AO164" i="1"/>
  <c r="AP164" i="1" s="1"/>
  <c r="R251" i="5" s="1"/>
  <c r="F29" i="6"/>
  <c r="E29" i="6"/>
  <c r="E24" i="5"/>
  <c r="E18" i="5"/>
  <c r="D41" i="5"/>
  <c r="F41" i="5"/>
  <c r="H41" i="5"/>
  <c r="I41" i="5"/>
  <c r="L41" i="5"/>
  <c r="N41" i="5"/>
  <c r="P41" i="5"/>
  <c r="P143" i="5"/>
  <c r="J122" i="5"/>
  <c r="J246" i="5" s="1"/>
  <c r="M360" i="5"/>
  <c r="H71" i="9"/>
  <c r="H70" i="9"/>
  <c r="M109" i="9"/>
  <c r="M158" i="9" s="1"/>
  <c r="D178" i="9"/>
  <c r="J17" i="7"/>
  <c r="L17" i="7"/>
  <c r="K39" i="1"/>
  <c r="K44" i="1" s="1"/>
  <c r="K45" i="1" s="1"/>
  <c r="F551" i="7"/>
  <c r="C709" i="7"/>
  <c r="P88" i="5"/>
  <c r="Q89" i="5" s="1"/>
  <c r="N228" i="9"/>
  <c r="L8" i="9"/>
  <c r="C742" i="7" s="1"/>
  <c r="L9" i="9"/>
  <c r="C743" i="7" s="1"/>
  <c r="N32" i="9"/>
  <c r="N208" i="9" s="1"/>
  <c r="CR150" i="1"/>
  <c r="AC151" i="1"/>
  <c r="CR151" i="1" s="1"/>
  <c r="S90" i="5"/>
  <c r="S89" i="5"/>
  <c r="L360" i="5"/>
  <c r="M107" i="9"/>
  <c r="D126" i="9"/>
  <c r="D136" i="9" s="1"/>
  <c r="D139" i="9" s="1"/>
  <c r="E109" i="9"/>
  <c r="E9" i="9"/>
  <c r="H209" i="9"/>
  <c r="H210" i="9" s="1"/>
  <c r="K30" i="9"/>
  <c r="K207" i="9" s="1"/>
  <c r="K209" i="9" s="1"/>
  <c r="K210" i="9" s="1"/>
  <c r="K32" i="9"/>
  <c r="K208" i="9" s="1"/>
  <c r="CN127" i="1"/>
  <c r="CT166" i="1"/>
  <c r="P166" i="1"/>
  <c r="P172" i="1" s="1"/>
  <c r="M5" i="9"/>
  <c r="D739" i="7" s="1"/>
  <c r="I815" i="7"/>
  <c r="I826" i="7" s="1"/>
  <c r="I511" i="7"/>
  <c r="CJ127" i="1"/>
  <c r="AM5" i="1"/>
  <c r="Y44" i="7" s="1"/>
  <c r="D678" i="7"/>
  <c r="F678" i="7" s="1"/>
  <c r="E51" i="9"/>
  <c r="E52" i="9" s="1"/>
  <c r="D47" i="5"/>
  <c r="O357" i="5"/>
  <c r="K107" i="9"/>
  <c r="I107" i="9"/>
  <c r="I109" i="9"/>
  <c r="K137" i="9"/>
  <c r="F209" i="9"/>
  <c r="F210" i="9" s="1"/>
  <c r="E46" i="6"/>
  <c r="E51" i="6" s="1"/>
  <c r="CK127" i="1"/>
  <c r="AE284" i="1"/>
  <c r="I551" i="7"/>
  <c r="M550" i="7"/>
  <c r="M592" i="7"/>
  <c r="N592" i="7" s="1"/>
  <c r="AL157" i="1"/>
  <c r="R116" i="5"/>
  <c r="R216" i="5" s="1"/>
  <c r="U40" i="8" s="1"/>
  <c r="AR5" i="1"/>
  <c r="AS94" i="1"/>
  <c r="DH93" i="1"/>
  <c r="M21" i="6"/>
  <c r="AC20" i="1"/>
  <c r="AP296" i="1"/>
  <c r="AP298" i="1" s="1"/>
  <c r="N171" i="5"/>
  <c r="CP166" i="1"/>
  <c r="O72" i="1"/>
  <c r="AA162" i="1"/>
  <c r="CL162" i="1" s="1"/>
  <c r="O176" i="5"/>
  <c r="AP5" i="1"/>
  <c r="AB44" i="7" s="1"/>
  <c r="J536" i="7"/>
  <c r="J542" i="7" s="1"/>
  <c r="O542" i="7" s="1"/>
  <c r="DH150" i="1"/>
  <c r="AW210" i="1"/>
  <c r="AW158" i="1"/>
  <c r="AW172" i="1"/>
  <c r="AW197" i="1" s="1"/>
  <c r="AW200" i="1" s="1"/>
  <c r="DE128" i="1"/>
  <c r="CN88" i="1"/>
  <c r="DA132" i="1"/>
  <c r="R177" i="9"/>
  <c r="R7" i="9" s="1"/>
  <c r="I741" i="7" s="1"/>
  <c r="AF36" i="1"/>
  <c r="AF39" i="1" s="1"/>
  <c r="P149" i="9"/>
  <c r="P4" i="9" s="1"/>
  <c r="G738" i="7" s="1"/>
  <c r="AA152" i="1"/>
  <c r="C818" i="7" s="1"/>
  <c r="AM157" i="1"/>
  <c r="AE16" i="1"/>
  <c r="CP16" i="1" s="1"/>
  <c r="CP18" i="1" s="1"/>
  <c r="Q50" i="7" s="1"/>
  <c r="R134" i="5"/>
  <c r="AS192" i="1"/>
  <c r="D1516" i="2"/>
  <c r="E1969" i="2"/>
  <c r="E1970" i="2" s="1"/>
  <c r="F1970" i="2" s="1"/>
  <c r="N169" i="5"/>
  <c r="Q74" i="5"/>
  <c r="Q82" i="5" s="1"/>
  <c r="G21" i="6"/>
  <c r="AI149" i="1"/>
  <c r="AI157" i="1" s="1"/>
  <c r="AI154" i="1"/>
  <c r="AO137" i="1"/>
  <c r="R144" i="5"/>
  <c r="CD92" i="1"/>
  <c r="AF296" i="1"/>
  <c r="AF298" i="1" s="1"/>
  <c r="AE276" i="1"/>
  <c r="CD88" i="1"/>
  <c r="CL125" i="1"/>
  <c r="AF144" i="1"/>
  <c r="AF140" i="1" s="1"/>
  <c r="AQ149" i="1"/>
  <c r="S119" i="5" s="1"/>
  <c r="M74" i="1"/>
  <c r="N68" i="7" s="1"/>
  <c r="R79" i="1"/>
  <c r="CT105" i="1"/>
  <c r="CX133" i="1"/>
  <c r="AM235" i="1"/>
  <c r="AM255" i="1" s="1"/>
  <c r="Q157" i="5"/>
  <c r="CX162" i="1"/>
  <c r="DE109" i="1"/>
  <c r="AW151" i="1"/>
  <c r="DH151" i="1" s="1"/>
  <c r="AW162" i="1"/>
  <c r="AK16" i="1"/>
  <c r="AK27" i="1" s="1"/>
  <c r="V110" i="8"/>
  <c r="R149" i="9"/>
  <c r="R4" i="9" s="1"/>
  <c r="CX93" i="1"/>
  <c r="AH249" i="1"/>
  <c r="AH293" i="1" s="1"/>
  <c r="CP93" i="1"/>
  <c r="T78" i="1"/>
  <c r="CI78" i="1" s="1"/>
  <c r="AN157" i="1"/>
  <c r="AD192" i="1"/>
  <c r="S94" i="1"/>
  <c r="S294" i="5"/>
  <c r="D218" i="1"/>
  <c r="R119" i="5"/>
  <c r="R228" i="5" s="1"/>
  <c r="AI94" i="1"/>
  <c r="S72" i="1"/>
  <c r="AC152" i="1"/>
  <c r="E818" i="7" s="1"/>
  <c r="AF152" i="1"/>
  <c r="AF160" i="1" s="1"/>
  <c r="H514" i="7" s="1"/>
  <c r="CT133" i="1"/>
  <c r="AS36" i="1"/>
  <c r="K389" i="5"/>
  <c r="AN194" i="1"/>
  <c r="AN192" i="1"/>
  <c r="N46" i="1"/>
  <c r="N47" i="1" s="1"/>
  <c r="N45" i="1"/>
  <c r="S44" i="1"/>
  <c r="S40" i="1"/>
  <c r="S49" i="1"/>
  <c r="S41" i="1"/>
  <c r="Y124" i="1"/>
  <c r="Y155" i="1" s="1"/>
  <c r="CJ106" i="1"/>
  <c r="E767" i="7" s="1"/>
  <c r="L55" i="1"/>
  <c r="L37" i="1"/>
  <c r="P78" i="1"/>
  <c r="P79" i="1" s="1"/>
  <c r="CA76" i="1"/>
  <c r="CG36" i="1"/>
  <c r="V39" i="1"/>
  <c r="V44" i="1" s="1"/>
  <c r="N22" i="1"/>
  <c r="N37" i="1" s="1"/>
  <c r="N27" i="1"/>
  <c r="L130" i="7" s="1"/>
  <c r="V116" i="1"/>
  <c r="CG81" i="1"/>
  <c r="CK81" i="1"/>
  <c r="L119" i="5"/>
  <c r="O140" i="1"/>
  <c r="O144" i="1" s="1"/>
  <c r="CQ105" i="1"/>
  <c r="AF106" i="1"/>
  <c r="P22" i="1"/>
  <c r="P55" i="1" s="1"/>
  <c r="P27" i="1"/>
  <c r="N130" i="7" s="1"/>
  <c r="DE93" i="1"/>
  <c r="AP97" i="1"/>
  <c r="DA93" i="1"/>
  <c r="AM134" i="1"/>
  <c r="D444" i="7"/>
  <c r="E44" i="7"/>
  <c r="Q221" i="5"/>
  <c r="T18" i="8" s="1"/>
  <c r="T41" i="8" s="1"/>
  <c r="CH125" i="1"/>
  <c r="H434" i="7" s="1"/>
  <c r="Y152" i="1"/>
  <c r="CE165" i="1"/>
  <c r="AK10" i="1"/>
  <c r="Q39" i="1"/>
  <c r="Q44" i="1" s="1"/>
  <c r="CJ188" i="1"/>
  <c r="F44" i="7"/>
  <c r="E451" i="7"/>
  <c r="E453" i="7" s="1"/>
  <c r="Z183" i="1"/>
  <c r="Z185" i="1" s="1"/>
  <c r="Z151" i="1"/>
  <c r="CO151" i="1" s="1"/>
  <c r="CV109" i="1"/>
  <c r="CD125" i="1"/>
  <c r="D434" i="7" s="1"/>
  <c r="CI164" i="1"/>
  <c r="CT191" i="1"/>
  <c r="CX191" i="1"/>
  <c r="AL97" i="1"/>
  <c r="CW93" i="1"/>
  <c r="AK137" i="1"/>
  <c r="M816" i="7" s="1"/>
  <c r="AK134" i="1"/>
  <c r="CZ134" i="1" s="1"/>
  <c r="AG5" i="1"/>
  <c r="S44" i="7" s="1"/>
  <c r="AG16" i="1"/>
  <c r="AN275" i="1"/>
  <c r="AO275" i="1"/>
  <c r="AK151" i="1"/>
  <c r="CV151" i="1" s="1"/>
  <c r="AK158" i="1"/>
  <c r="AK162" i="1"/>
  <c r="CU105" i="1"/>
  <c r="AO256" i="1"/>
  <c r="AO293" i="1"/>
  <c r="S186" i="5"/>
  <c r="S187" i="5" s="1"/>
  <c r="S189" i="5"/>
  <c r="O40" i="1"/>
  <c r="CN106" i="1"/>
  <c r="I767" i="7" s="1"/>
  <c r="DA63" i="1"/>
  <c r="CB36" i="1"/>
  <c r="E40" i="7" s="1"/>
  <c r="AC202" i="1"/>
  <c r="P20" i="1"/>
  <c r="CD36" i="1"/>
  <c r="AI10" i="1"/>
  <c r="AK190" i="1"/>
  <c r="AK192" i="1" s="1"/>
  <c r="AK152" i="1"/>
  <c r="CN109" i="1"/>
  <c r="V10" i="1"/>
  <c r="F452" i="7" s="1"/>
  <c r="AJ106" i="1"/>
  <c r="AJ124" i="1" s="1"/>
  <c r="AM256" i="1"/>
  <c r="AM172" i="1"/>
  <c r="AM197" i="1" s="1"/>
  <c r="AM200" i="1" s="1"/>
  <c r="G815" i="7"/>
  <c r="G826" i="7" s="1"/>
  <c r="L39" i="1"/>
  <c r="CA36" i="1"/>
  <c r="D40" i="7" s="1"/>
  <c r="CO145" i="1"/>
  <c r="G536" i="7"/>
  <c r="L536" i="7" s="1"/>
  <c r="AB144" i="1"/>
  <c r="AB140" i="1" s="1"/>
  <c r="AB149" i="1" s="1"/>
  <c r="AB157" i="1" s="1"/>
  <c r="D512" i="7" s="1"/>
  <c r="AB162" i="1"/>
  <c r="CM162" i="1" s="1"/>
  <c r="L218" i="5"/>
  <c r="O133" i="8" s="1"/>
  <c r="L150" i="5"/>
  <c r="L248" i="5" s="1"/>
  <c r="L261" i="5" s="1"/>
  <c r="P231" i="5"/>
  <c r="P241" i="5" s="1"/>
  <c r="P177" i="9"/>
  <c r="CG123" i="1"/>
  <c r="G432" i="7" s="1"/>
  <c r="AN235" i="1"/>
  <c r="AN245" i="1" s="1"/>
  <c r="AN296" i="1"/>
  <c r="AN298" i="1" s="1"/>
  <c r="AP36" i="1"/>
  <c r="AO5" i="1"/>
  <c r="AA44" i="7" s="1"/>
  <c r="AO9" i="1"/>
  <c r="AL137" i="1"/>
  <c r="CW137" i="1" s="1"/>
  <c r="AC22" i="1"/>
  <c r="CN22" i="1" s="1"/>
  <c r="O52" i="7" s="1"/>
  <c r="AM158" i="1"/>
  <c r="O27" i="1"/>
  <c r="M130" i="7" s="1"/>
  <c r="BZ88" i="1"/>
  <c r="AM167" i="1"/>
  <c r="CH166" i="1"/>
  <c r="V188" i="1"/>
  <c r="V190" i="1" s="1"/>
  <c r="AP16" i="1"/>
  <c r="CV150" i="1"/>
  <c r="AG36" i="1"/>
  <c r="CR36" i="1" s="1"/>
  <c r="S54" i="7" s="1"/>
  <c r="Y132" i="1"/>
  <c r="CN132" i="1" s="1"/>
  <c r="CH172" i="1"/>
  <c r="CH76" i="1"/>
  <c r="S78" i="1"/>
  <c r="CD78" i="1" s="1"/>
  <c r="CD76" i="1"/>
  <c r="CP112" i="1"/>
  <c r="CT112" i="1"/>
  <c r="AH192" i="1"/>
  <c r="CS190" i="1"/>
  <c r="AI273" i="1"/>
  <c r="AG235" i="1"/>
  <c r="AG245" i="1" s="1"/>
  <c r="AG296" i="1"/>
  <c r="AG298" i="1" s="1"/>
  <c r="CF73" i="1"/>
  <c r="CJ73" i="1"/>
  <c r="P72" i="1"/>
  <c r="I125" i="7"/>
  <c r="D548" i="7"/>
  <c r="D551" i="7" s="1"/>
  <c r="M530" i="7"/>
  <c r="W22" i="1"/>
  <c r="N107" i="5"/>
  <c r="N50" i="5" s="1"/>
  <c r="N62" i="5" s="1"/>
  <c r="N64" i="5" s="1"/>
  <c r="AJ97" i="1"/>
  <c r="AJ94" i="1"/>
  <c r="AP94" i="1"/>
  <c r="AT9" i="1"/>
  <c r="AU157" i="1"/>
  <c r="CO134" i="1"/>
  <c r="CC127" i="1"/>
  <c r="CM134" i="1"/>
  <c r="H519" i="7"/>
  <c r="Y154" i="1"/>
  <c r="AN250" i="1"/>
  <c r="AM9" i="1"/>
  <c r="AM12" i="1" s="1"/>
  <c r="AR158" i="1"/>
  <c r="L136" i="5"/>
  <c r="W72" i="1"/>
  <c r="K74" i="1"/>
  <c r="L68" i="7" s="1"/>
  <c r="S74" i="1"/>
  <c r="T68" i="7" s="1"/>
  <c r="CM127" i="1"/>
  <c r="X20" i="1"/>
  <c r="CF16" i="1"/>
  <c r="F49" i="7" s="1"/>
  <c r="F31" i="7" s="1"/>
  <c r="AL16" i="1"/>
  <c r="AL27" i="1" s="1"/>
  <c r="AP10" i="1"/>
  <c r="AS194" i="1"/>
  <c r="J7" i="6"/>
  <c r="J27" i="6"/>
  <c r="AW297" i="1"/>
  <c r="N41" i="1"/>
  <c r="N49" i="1"/>
  <c r="C439" i="7"/>
  <c r="V165" i="1"/>
  <c r="M254" i="5" s="1"/>
  <c r="C280" i="7" s="1"/>
  <c r="X166" i="1"/>
  <c r="X172" i="1" s="1"/>
  <c r="CM165" i="1"/>
  <c r="Y165" i="1"/>
  <c r="CJ165" i="1" s="1"/>
  <c r="N439" i="7" s="1"/>
  <c r="AP269" i="1"/>
  <c r="AP280" i="1"/>
  <c r="R34" i="9"/>
  <c r="CF165" i="1"/>
  <c r="I439" i="7" s="1"/>
  <c r="CN128" i="1"/>
  <c r="CR128" i="1"/>
  <c r="AC129" i="1"/>
  <c r="CI125" i="1"/>
  <c r="I434" i="7" s="1"/>
  <c r="CE125" i="1"/>
  <c r="E434" i="7" s="1"/>
  <c r="CI88" i="1"/>
  <c r="CM88" i="1"/>
  <c r="X89" i="1"/>
  <c r="I58" i="7" s="1"/>
  <c r="U124" i="1"/>
  <c r="AK264" i="1"/>
  <c r="AK273" i="1"/>
  <c r="AL273" i="1"/>
  <c r="K216" i="5"/>
  <c r="N40" i="8" s="1"/>
  <c r="F5" i="7"/>
  <c r="F13" i="7" s="1"/>
  <c r="X39" i="1"/>
  <c r="X49" i="1" s="1"/>
  <c r="CI36" i="1"/>
  <c r="AA39" i="1"/>
  <c r="AA44" i="1" s="1"/>
  <c r="R72" i="1"/>
  <c r="M27" i="1"/>
  <c r="J130" i="7" s="1"/>
  <c r="M22" i="1"/>
  <c r="T194" i="1"/>
  <c r="T192" i="1"/>
  <c r="I237" i="7"/>
  <c r="F58" i="7"/>
  <c r="N20" i="1"/>
  <c r="CC123" i="1"/>
  <c r="C432" i="7" s="1"/>
  <c r="C760" i="7"/>
  <c r="H431" i="7"/>
  <c r="E437" i="7" s="1"/>
  <c r="C443" i="7" s="1"/>
  <c r="AJ264" i="1"/>
  <c r="AJ276" i="1" s="1"/>
  <c r="AJ273" i="1"/>
  <c r="AK5" i="1"/>
  <c r="W44" i="7" s="1"/>
  <c r="AJ9" i="1"/>
  <c r="AN9" i="1"/>
  <c r="AN5" i="1"/>
  <c r="Z44" i="7" s="1"/>
  <c r="AO36" i="1"/>
  <c r="AO39" i="1" s="1"/>
  <c r="AK164" i="1"/>
  <c r="AK166" i="1" s="1"/>
  <c r="AJ166" i="1"/>
  <c r="AJ150" i="1"/>
  <c r="AJ190" i="1" s="1"/>
  <c r="CU145" i="1"/>
  <c r="CY105" i="1"/>
  <c r="AN106" i="1"/>
  <c r="Z164" i="1"/>
  <c r="N251" i="5" s="1"/>
  <c r="C259" i="7" s="1"/>
  <c r="E444" i="7"/>
  <c r="Y168" i="1"/>
  <c r="S127" i="1"/>
  <c r="CH112" i="1"/>
  <c r="CD112" i="1"/>
  <c r="AN97" i="1"/>
  <c r="AN94" i="1"/>
  <c r="CY93" i="1"/>
  <c r="DF63" i="1"/>
  <c r="DB63" i="1"/>
  <c r="AS134" i="1"/>
  <c r="AS137" i="1"/>
  <c r="DH137" i="1" s="1"/>
  <c r="L21" i="6"/>
  <c r="AO155" i="1"/>
  <c r="AA37" i="1"/>
  <c r="CI165" i="1"/>
  <c r="M439" i="7" s="1"/>
  <c r="M41" i="1"/>
  <c r="M49" i="1"/>
  <c r="D227" i="1"/>
  <c r="M44" i="1"/>
  <c r="M45" i="1" s="1"/>
  <c r="N40" i="1"/>
  <c r="AE158" i="1"/>
  <c r="G518" i="7" s="1"/>
  <c r="F439" i="7"/>
  <c r="D446" i="7" s="1"/>
  <c r="AC164" i="1"/>
  <c r="CR164" i="1" s="1"/>
  <c r="AB166" i="1"/>
  <c r="AN280" i="1"/>
  <c r="CF105" i="1"/>
  <c r="Q106" i="1"/>
  <c r="Q124" i="1" s="1"/>
  <c r="D511" i="7"/>
  <c r="D521" i="7" s="1"/>
  <c r="I529" i="7"/>
  <c r="CR109" i="1"/>
  <c r="AC144" i="1"/>
  <c r="AC140" i="1" s="1"/>
  <c r="AC154" i="1" s="1"/>
  <c r="AC162" i="1"/>
  <c r="CN162" i="1" s="1"/>
  <c r="AT134" i="1"/>
  <c r="AT158" i="1"/>
  <c r="V111" i="8"/>
  <c r="AT190" i="1"/>
  <c r="Q164" i="1"/>
  <c r="R164" i="1" s="1"/>
  <c r="R166" i="1" s="1"/>
  <c r="R172" i="1" s="1"/>
  <c r="CD16" i="1"/>
  <c r="D49" i="7" s="1"/>
  <c r="D31" i="7" s="1"/>
  <c r="AO144" i="1"/>
  <c r="CH16" i="1"/>
  <c r="H49" i="7" s="1"/>
  <c r="H31" i="7" s="1"/>
  <c r="AA20" i="1"/>
  <c r="D815" i="7"/>
  <c r="D826" i="7" s="1"/>
  <c r="T144" i="1"/>
  <c r="CM189" i="1"/>
  <c r="AB190" i="1"/>
  <c r="AG192" i="1"/>
  <c r="AG194" i="1"/>
  <c r="BZ36" i="1"/>
  <c r="C40" i="7" s="1"/>
  <c r="L44" i="7"/>
  <c r="J451" i="7"/>
  <c r="CQ151" i="1"/>
  <c r="CN125" i="1"/>
  <c r="CR125" i="1"/>
  <c r="CM145" i="1"/>
  <c r="X188" i="1"/>
  <c r="CM188" i="1" s="1"/>
  <c r="CP92" i="1"/>
  <c r="P133" i="5"/>
  <c r="P144" i="5" s="1"/>
  <c r="CL16" i="1"/>
  <c r="M49" i="7" s="1"/>
  <c r="M31" i="7" s="1"/>
  <c r="AM10" i="1"/>
  <c r="AN10" i="1"/>
  <c r="DA145" i="1"/>
  <c r="AP150" i="1"/>
  <c r="AP190" i="1" s="1"/>
  <c r="AP194" i="1" s="1"/>
  <c r="DG105" i="1"/>
  <c r="AR106" i="1"/>
  <c r="AR124" i="1" s="1"/>
  <c r="DC105" i="1"/>
  <c r="DG132" i="1"/>
  <c r="DC132" i="1"/>
  <c r="AA129" i="1"/>
  <c r="CL129" i="1" s="1"/>
  <c r="AA27" i="1"/>
  <c r="X27" i="1"/>
  <c r="X22" i="1"/>
  <c r="E226" i="1"/>
  <c r="G226" i="1"/>
  <c r="AR291" i="1"/>
  <c r="L22" i="6"/>
  <c r="AI127" i="1"/>
  <c r="AO150" i="1"/>
  <c r="CE164" i="1"/>
  <c r="CY132" i="1"/>
  <c r="S22" i="1"/>
  <c r="S55" i="1" s="1"/>
  <c r="O208" i="5"/>
  <c r="O229" i="5" s="1"/>
  <c r="D519" i="7"/>
  <c r="AN256" i="1"/>
  <c r="AR257" i="1" s="1"/>
  <c r="H815" i="7"/>
  <c r="H826" i="7" s="1"/>
  <c r="AL36" i="1"/>
  <c r="R144" i="1"/>
  <c r="CQ183" i="1"/>
  <c r="AB185" i="1"/>
  <c r="CN189" i="1"/>
  <c r="AC190" i="1"/>
  <c r="AC194" i="1" s="1"/>
  <c r="N128" i="1"/>
  <c r="N183" i="1" s="1"/>
  <c r="CL120" i="1"/>
  <c r="W168" i="1"/>
  <c r="CI127" i="1"/>
  <c r="I431" i="7"/>
  <c r="F437" i="7" s="1"/>
  <c r="D443" i="7" s="1"/>
  <c r="D760" i="7"/>
  <c r="F217" i="1"/>
  <c r="F227" i="1" s="1"/>
  <c r="AM152" i="1"/>
  <c r="AS14" i="1"/>
  <c r="CR127" i="1"/>
  <c r="N144" i="1"/>
  <c r="P144" i="1"/>
  <c r="Q144" i="1"/>
  <c r="CN36" i="1"/>
  <c r="O54" i="7" s="1"/>
  <c r="U74" i="1"/>
  <c r="V68" i="7" s="1"/>
  <c r="CY109" i="1"/>
  <c r="DE132" i="1"/>
  <c r="AF276" i="1"/>
  <c r="CL36" i="1"/>
  <c r="M54" i="7" s="1"/>
  <c r="CR105" i="1"/>
  <c r="CL134" i="1"/>
  <c r="CS109" i="1"/>
  <c r="AD140" i="1"/>
  <c r="AD149" i="1" s="1"/>
  <c r="AD157" i="1" s="1"/>
  <c r="F512" i="7" s="1"/>
  <c r="CS162" i="1"/>
  <c r="CE123" i="1"/>
  <c r="E432" i="7" s="1"/>
  <c r="S155" i="1"/>
  <c r="O136" i="5"/>
  <c r="R137" i="5"/>
  <c r="R136" i="5" s="1"/>
  <c r="Y20" i="1"/>
  <c r="AT10" i="1"/>
  <c r="AU192" i="1"/>
  <c r="S169" i="5"/>
  <c r="P107" i="1"/>
  <c r="P124" i="1"/>
  <c r="P128" i="1" s="1"/>
  <c r="P183" i="1" s="1"/>
  <c r="AH298" i="1"/>
  <c r="AH300" i="1"/>
  <c r="D215" i="1"/>
  <c r="CF78" i="1"/>
  <c r="W9" i="1"/>
  <c r="W10" i="1"/>
  <c r="G452" i="7" s="1"/>
  <c r="G453" i="7" s="1"/>
  <c r="CG125" i="1"/>
  <c r="G434" i="7" s="1"/>
  <c r="CC125" i="1"/>
  <c r="C434" i="7" s="1"/>
  <c r="DC150" i="1"/>
  <c r="AN151" i="1"/>
  <c r="AN158" i="1"/>
  <c r="DD63" i="1"/>
  <c r="CZ63" i="1"/>
  <c r="AN175" i="1"/>
  <c r="CH190" i="1"/>
  <c r="O41" i="1"/>
  <c r="AP144" i="1"/>
  <c r="G125" i="7"/>
  <c r="N72" i="1"/>
  <c r="T49" i="1"/>
  <c r="T41" i="1"/>
  <c r="T40" i="1"/>
  <c r="J22" i="1"/>
  <c r="J27" i="1"/>
  <c r="G130" i="7" s="1"/>
  <c r="C511" i="7"/>
  <c r="C521" i="7" s="1"/>
  <c r="H529" i="7"/>
  <c r="CO150" i="1"/>
  <c r="Z190" i="1"/>
  <c r="AC210" i="1"/>
  <c r="Z158" i="1"/>
  <c r="U154" i="1"/>
  <c r="U20" i="1"/>
  <c r="CF123" i="1"/>
  <c r="F432" i="7" s="1"/>
  <c r="AE137" i="1"/>
  <c r="AE128" i="1"/>
  <c r="CP133" i="1"/>
  <c r="AI296" i="1"/>
  <c r="AI235" i="1"/>
  <c r="AI236" i="1" s="1"/>
  <c r="AM106" i="1"/>
  <c r="DB105" i="1"/>
  <c r="CX105" i="1"/>
  <c r="CW109" i="1"/>
  <c r="DA109" i="1"/>
  <c r="V27" i="1"/>
  <c r="T130" i="7" s="1"/>
  <c r="V20" i="1"/>
  <c r="V22" i="1"/>
  <c r="V37" i="1" s="1"/>
  <c r="CK16" i="1"/>
  <c r="L49" i="7" s="1"/>
  <c r="L31" i="7" s="1"/>
  <c r="CZ132" i="1"/>
  <c r="DD189" i="1"/>
  <c r="R286" i="5"/>
  <c r="U20" i="8" s="1"/>
  <c r="AR94" i="1"/>
  <c r="DG93" i="1"/>
  <c r="DC93" i="1"/>
  <c r="AR97" i="1"/>
  <c r="AG155" i="1"/>
  <c r="I513" i="7" s="1"/>
  <c r="CR124" i="1"/>
  <c r="N78" i="1"/>
  <c r="CC78" i="1" s="1"/>
  <c r="CC76" i="1"/>
  <c r="CJ81" i="1"/>
  <c r="U116" i="1"/>
  <c r="U190" i="1"/>
  <c r="CN188" i="1"/>
  <c r="Y190" i="1"/>
  <c r="I519" i="7"/>
  <c r="F511" i="7"/>
  <c r="F521" i="7" s="1"/>
  <c r="F815" i="7"/>
  <c r="F826" i="7" s="1"/>
  <c r="CV132" i="1"/>
  <c r="AG67" i="1"/>
  <c r="AH66" i="1"/>
  <c r="CW150" i="1"/>
  <c r="AL190" i="1"/>
  <c r="AN210" i="1"/>
  <c r="AL158" i="1"/>
  <c r="AL152" i="1"/>
  <c r="AS293" i="1"/>
  <c r="AW294" i="1" s="1"/>
  <c r="AS254" i="1"/>
  <c r="AS251" i="1"/>
  <c r="DE189" i="1"/>
  <c r="DE145" i="1"/>
  <c r="CF22" i="1"/>
  <c r="F52" i="7" s="1"/>
  <c r="F33" i="7" s="1"/>
  <c r="S18" i="8"/>
  <c r="S41" i="8" s="1"/>
  <c r="E255" i="7"/>
  <c r="E268" i="7" s="1"/>
  <c r="CC106" i="1"/>
  <c r="R174" i="5"/>
  <c r="R175" i="5" s="1"/>
  <c r="AN152" i="1"/>
  <c r="J44" i="1"/>
  <c r="J40" i="1"/>
  <c r="AH235" i="1"/>
  <c r="E58" i="7"/>
  <c r="DE105" i="1"/>
  <c r="CF36" i="1"/>
  <c r="U39" i="1"/>
  <c r="AD160" i="1"/>
  <c r="F514" i="7" s="1"/>
  <c r="F816" i="7"/>
  <c r="J817" i="7" s="1"/>
  <c r="CS137" i="1"/>
  <c r="W106" i="1"/>
  <c r="CH105" i="1"/>
  <c r="C766" i="7" s="1"/>
  <c r="X106" i="1"/>
  <c r="CM105" i="1"/>
  <c r="H766" i="7" s="1"/>
  <c r="CI105" i="1"/>
  <c r="D766" i="7" s="1"/>
  <c r="AK106" i="1"/>
  <c r="CV106" i="1" s="1"/>
  <c r="CV105" i="1"/>
  <c r="CZ105" i="1"/>
  <c r="Q207" i="9"/>
  <c r="Q231" i="5"/>
  <c r="Q241" i="5" s="1"/>
  <c r="AE5" i="1"/>
  <c r="Q44" i="7" s="1"/>
  <c r="AE9" i="1"/>
  <c r="AE36" i="1"/>
  <c r="CP36" i="1" s="1"/>
  <c r="Q54" i="7" s="1"/>
  <c r="CY189" i="1"/>
  <c r="T230" i="5"/>
  <c r="S134" i="5"/>
  <c r="S144" i="5"/>
  <c r="R294" i="5"/>
  <c r="E178" i="7"/>
  <c r="AN167" i="1"/>
  <c r="J41" i="1"/>
  <c r="Q37" i="1"/>
  <c r="W192" i="1"/>
  <c r="CR106" i="1"/>
  <c r="AE134" i="1"/>
  <c r="CP134" i="1" s="1"/>
  <c r="AH144" i="1"/>
  <c r="AH140" i="1" s="1"/>
  <c r="N107" i="1"/>
  <c r="R208" i="5"/>
  <c r="M107" i="5"/>
  <c r="M50" i="5" s="1"/>
  <c r="AL162" i="1"/>
  <c r="CW162" i="1" s="1"/>
  <c r="CE105" i="1"/>
  <c r="U37" i="1"/>
  <c r="AE94" i="1"/>
  <c r="CI123" i="1"/>
  <c r="I432" i="7" s="1"/>
  <c r="X10" i="1"/>
  <c r="H452" i="7" s="1"/>
  <c r="H453" i="7" s="1"/>
  <c r="W20" i="1"/>
  <c r="CY164" i="1"/>
  <c r="CI81" i="1"/>
  <c r="L451" i="7"/>
  <c r="AF10" i="1"/>
  <c r="AF9" i="1"/>
  <c r="AB39" i="1"/>
  <c r="AB44" i="1" s="1"/>
  <c r="CM36" i="1"/>
  <c r="N54" i="7" s="1"/>
  <c r="AC155" i="1"/>
  <c r="E513" i="7" s="1"/>
  <c r="CM125" i="1"/>
  <c r="CQ125" i="1"/>
  <c r="CK145" i="1"/>
  <c r="AE144" i="1"/>
  <c r="AE141" i="1" s="1"/>
  <c r="AE109" i="1" s="1"/>
  <c r="P208" i="5" s="1"/>
  <c r="T22" i="1"/>
  <c r="CE16" i="1"/>
  <c r="E49" i="7" s="1"/>
  <c r="E31" i="7" s="1"/>
  <c r="CI16" i="1"/>
  <c r="I49" i="7" s="1"/>
  <c r="I31" i="7" s="1"/>
  <c r="S221" i="5"/>
  <c r="S223" i="5" s="1"/>
  <c r="AQ137" i="1"/>
  <c r="AQ134" i="1"/>
  <c r="AU135" i="1" s="1"/>
  <c r="DB133" i="1"/>
  <c r="C213" i="1"/>
  <c r="E213" i="1" s="1"/>
  <c r="DF93" i="1"/>
  <c r="AQ94" i="1"/>
  <c r="S137" i="5"/>
  <c r="AQ97" i="1"/>
  <c r="DB93" i="1"/>
  <c r="AQ254" i="1"/>
  <c r="AQ251" i="1"/>
  <c r="DG134" i="1"/>
  <c r="AV135" i="1"/>
  <c r="AR36" i="1"/>
  <c r="DG36" i="1" s="1"/>
  <c r="AS16" i="1"/>
  <c r="S230" i="5"/>
  <c r="S394" i="5" s="1"/>
  <c r="S148" i="5"/>
  <c r="D220" i="1"/>
  <c r="F169" i="7"/>
  <c r="H189" i="7" s="1"/>
  <c r="O49" i="1"/>
  <c r="O46" i="1"/>
  <c r="O47" i="1" s="1"/>
  <c r="O50" i="1" s="1"/>
  <c r="O59" i="1" s="1"/>
  <c r="O60" i="1" s="1"/>
  <c r="CJ22" i="1"/>
  <c r="J52" i="7" s="1"/>
  <c r="J33" i="7" s="1"/>
  <c r="CT93" i="1"/>
  <c r="CE81" i="1"/>
  <c r="W39" i="1"/>
  <c r="Q116" i="5"/>
  <c r="Q117" i="5" s="1"/>
  <c r="CJ123" i="1"/>
  <c r="J432" i="7" s="1"/>
  <c r="CH36" i="1"/>
  <c r="G540" i="7"/>
  <c r="G555" i="7" s="1"/>
  <c r="AM97" i="1"/>
  <c r="N174" i="5"/>
  <c r="O175" i="5" s="1"/>
  <c r="AN162" i="1"/>
  <c r="AL151" i="1"/>
  <c r="CW151" i="1" s="1"/>
  <c r="N148" i="5"/>
  <c r="AB137" i="1"/>
  <c r="D816" i="7" s="1"/>
  <c r="H817" i="7" s="1"/>
  <c r="Q208" i="5"/>
  <c r="Q229" i="5" s="1"/>
  <c r="T140" i="8" s="1"/>
  <c r="T27" i="1"/>
  <c r="R130" i="7" s="1"/>
  <c r="C815" i="7"/>
  <c r="C826" i="7" s="1"/>
  <c r="CO109" i="1"/>
  <c r="AQ256" i="1"/>
  <c r="AF5" i="1"/>
  <c r="R44" i="7" s="1"/>
  <c r="AJ272" i="1"/>
  <c r="AI272" i="1"/>
  <c r="CP113" i="1"/>
  <c r="CT113" i="1"/>
  <c r="AE127" i="1"/>
  <c r="CP127" i="1" s="1"/>
  <c r="AM280" i="1"/>
  <c r="AL269" i="1"/>
  <c r="AG293" i="1"/>
  <c r="D73" i="1"/>
  <c r="H74" i="1" s="1"/>
  <c r="H68" i="7" s="1"/>
  <c r="H26" i="1"/>
  <c r="L79" i="1"/>
  <c r="L74" i="1"/>
  <c r="M68" i="7" s="1"/>
  <c r="P74" i="1"/>
  <c r="Q68" i="7" s="1"/>
  <c r="CH73" i="1"/>
  <c r="CD73" i="1"/>
  <c r="S89" i="1"/>
  <c r="S140" i="1"/>
  <c r="J44" i="7"/>
  <c r="I451" i="7"/>
  <c r="AA10" i="1"/>
  <c r="L452" i="7" s="1"/>
  <c r="AA9" i="1"/>
  <c r="M45" i="7" s="1"/>
  <c r="AD135" i="1"/>
  <c r="D522" i="7"/>
  <c r="D524" i="7" s="1"/>
  <c r="AA172" i="1"/>
  <c r="AA167" i="1"/>
  <c r="AO280" i="1"/>
  <c r="AN269" i="1"/>
  <c r="AR251" i="1"/>
  <c r="AO254" i="1"/>
  <c r="AN293" i="1"/>
  <c r="AN254" i="1"/>
  <c r="AO250" i="1"/>
  <c r="AJ36" i="1"/>
  <c r="AJ16" i="1"/>
  <c r="AJ20" i="1" s="1"/>
  <c r="AN16" i="1"/>
  <c r="AN36" i="1"/>
  <c r="AM16" i="1"/>
  <c r="AM36" i="1"/>
  <c r="AT254" i="1"/>
  <c r="AT157" i="1"/>
  <c r="AT250" i="1"/>
  <c r="AV254" i="1"/>
  <c r="AV250" i="1"/>
  <c r="AU251" i="1"/>
  <c r="AU293" i="1"/>
  <c r="AU254" i="1"/>
  <c r="AU250" i="1"/>
  <c r="AP245" i="1"/>
  <c r="AE167" i="1"/>
  <c r="AE175" i="1"/>
  <c r="AB210" i="1"/>
  <c r="AB202" i="1"/>
  <c r="AC10" i="1"/>
  <c r="AB9" i="1"/>
  <c r="O45" i="7" s="1"/>
  <c r="AB10" i="1"/>
  <c r="CH88" i="1"/>
  <c r="W89" i="1"/>
  <c r="H58" i="7" s="1"/>
  <c r="CL88" i="1"/>
  <c r="CK36" i="1"/>
  <c r="Z39" i="1"/>
  <c r="O74" i="1"/>
  <c r="P68" i="7" s="1"/>
  <c r="BZ73" i="1"/>
  <c r="O79" i="1"/>
  <c r="CB73" i="1"/>
  <c r="Q79" i="1"/>
  <c r="T44" i="1"/>
  <c r="CE36" i="1"/>
  <c r="AA106" i="1"/>
  <c r="CL105" i="1"/>
  <c r="G766" i="7" s="1"/>
  <c r="CP125" i="1"/>
  <c r="AA137" i="1"/>
  <c r="CM109" i="1"/>
  <c r="DG133" i="1"/>
  <c r="AR137" i="1"/>
  <c r="DC137" i="1" s="1"/>
  <c r="AR10" i="1"/>
  <c r="AU10" i="1"/>
  <c r="AV10" i="1"/>
  <c r="AQ280" i="1"/>
  <c r="AQ269" i="1"/>
  <c r="CL127" i="1"/>
  <c r="AJ296" i="1"/>
  <c r="AJ235" i="1"/>
  <c r="DD109" i="1"/>
  <c r="DG150" i="1"/>
  <c r="AR190" i="1"/>
  <c r="AR194" i="1" s="1"/>
  <c r="AU144" i="1"/>
  <c r="AU152" i="1"/>
  <c r="DJ152" i="1" s="1"/>
  <c r="N233" i="5"/>
  <c r="CX166" i="1"/>
  <c r="CZ109" i="1"/>
  <c r="AF268" i="1"/>
  <c r="AF269" i="1" s="1"/>
  <c r="O530" i="7"/>
  <c r="CT92" i="1"/>
  <c r="W173" i="1"/>
  <c r="AO157" i="1"/>
  <c r="CN105" i="1"/>
  <c r="I766" i="7" s="1"/>
  <c r="AD284" i="1"/>
  <c r="C447" i="7"/>
  <c r="CN16" i="1"/>
  <c r="O49" i="7" s="1"/>
  <c r="AJ5" i="1"/>
  <c r="V44" i="7" s="1"/>
  <c r="AR14" i="1"/>
  <c r="AR16" i="1"/>
  <c r="AR27" i="1" s="1"/>
  <c r="AR151" i="1"/>
  <c r="DG151" i="1" s="1"/>
  <c r="AT36" i="1"/>
  <c r="DI36" i="1" s="1"/>
  <c r="AS158" i="1"/>
  <c r="DD133" i="1"/>
  <c r="AT152" i="1"/>
  <c r="DI152" i="1" s="1"/>
  <c r="AT162" i="1"/>
  <c r="DI162" i="1" s="1"/>
  <c r="AV16" i="1"/>
  <c r="AV5" i="1"/>
  <c r="AU5" i="1"/>
  <c r="CF81" i="1"/>
  <c r="CK125" i="1"/>
  <c r="Q74" i="1"/>
  <c r="R68" i="7" s="1"/>
  <c r="CA73" i="1"/>
  <c r="CC36" i="1"/>
  <c r="CC105" i="1"/>
  <c r="O241" i="5"/>
  <c r="O157" i="5"/>
  <c r="CM164" i="1"/>
  <c r="AL5" i="1"/>
  <c r="X44" i="7" s="1"/>
  <c r="AQ14" i="1"/>
  <c r="AR293" i="1"/>
  <c r="AV251" i="1"/>
  <c r="S60" i="5"/>
  <c r="AH276" i="1"/>
  <c r="AG268" i="1"/>
  <c r="P186" i="5"/>
  <c r="P189" i="5"/>
  <c r="S207" i="9"/>
  <c r="S176" i="5"/>
  <c r="R189" i="5"/>
  <c r="G553" i="7"/>
  <c r="G547" i="7" s="1"/>
  <c r="D453" i="7"/>
  <c r="Q190" i="5"/>
  <c r="AD276" i="1"/>
  <c r="P207" i="9"/>
  <c r="E193" i="7"/>
  <c r="H21" i="6"/>
  <c r="N294" i="5"/>
  <c r="Q110" i="8"/>
  <c r="Q28" i="8"/>
  <c r="P190" i="5"/>
  <c r="R176" i="5"/>
  <c r="U172" i="5"/>
  <c r="V172" i="5" s="1"/>
  <c r="W172" i="5" s="1"/>
  <c r="X172" i="5" s="1"/>
  <c r="Y172" i="5" s="1"/>
  <c r="Z172" i="5" s="1"/>
  <c r="AA172" i="5" s="1"/>
  <c r="AB172" i="5" s="1"/>
  <c r="S173" i="5"/>
  <c r="N157" i="5"/>
  <c r="N136" i="5"/>
  <c r="AG276" i="1"/>
  <c r="U110" i="8"/>
  <c r="N139" i="8"/>
  <c r="P157" i="5"/>
  <c r="M79" i="5"/>
  <c r="M74" i="5" s="1"/>
  <c r="N68" i="5"/>
  <c r="M166" i="5"/>
  <c r="M167" i="5" s="1"/>
  <c r="M169" i="5"/>
  <c r="D10" i="7"/>
  <c r="E13" i="7"/>
  <c r="E440" i="7"/>
  <c r="D565" i="7"/>
  <c r="L5" i="7"/>
  <c r="L13" i="7" s="1"/>
  <c r="P216" i="5"/>
  <c r="S131" i="8" s="1"/>
  <c r="O230" i="5"/>
  <c r="O394" i="5" s="1"/>
  <c r="O148" i="5"/>
  <c r="Q189" i="5"/>
  <c r="Q148" i="5"/>
  <c r="O78" i="5"/>
  <c r="O74" i="5"/>
  <c r="O71" i="5" s="1"/>
  <c r="G10" i="7"/>
  <c r="E24" i="7" s="1"/>
  <c r="H556" i="7"/>
  <c r="H559" i="7" s="1"/>
  <c r="M542" i="7"/>
  <c r="R133" i="8"/>
  <c r="N240" i="5"/>
  <c r="L117" i="5"/>
  <c r="P40" i="8"/>
  <c r="P131" i="8"/>
  <c r="P79" i="5"/>
  <c r="P78" i="5" s="1"/>
  <c r="M117" i="5"/>
  <c r="H5" i="7"/>
  <c r="Q141" i="8"/>
  <c r="P68" i="5"/>
  <c r="L216" i="5"/>
  <c r="O40" i="8" s="1"/>
  <c r="N42" i="8"/>
  <c r="N542" i="7"/>
  <c r="I556" i="7"/>
  <c r="I559" i="7" s="1"/>
  <c r="C565" i="7"/>
  <c r="O216" i="5"/>
  <c r="P230" i="5"/>
  <c r="P394" i="5" s="1"/>
  <c r="R79" i="5"/>
  <c r="R68" i="5"/>
  <c r="U170" i="5"/>
  <c r="V170" i="5" s="1"/>
  <c r="W170" i="5" s="1"/>
  <c r="X170" i="5" s="1"/>
  <c r="Y170" i="5" s="1"/>
  <c r="Z170" i="5" s="1"/>
  <c r="AA170" i="5" s="1"/>
  <c r="AB170" i="5" s="1"/>
  <c r="S171" i="5"/>
  <c r="Q68" i="5"/>
  <c r="M536" i="7"/>
  <c r="M68" i="5"/>
  <c r="O141" i="8"/>
  <c r="N536" i="7"/>
  <c r="N176" i="5"/>
  <c r="AG256" i="1"/>
  <c r="J150" i="5"/>
  <c r="K248" i="5"/>
  <c r="N196" i="5"/>
  <c r="M205" i="5"/>
  <c r="B268" i="5"/>
  <c r="B277" i="5"/>
  <c r="U25" i="8"/>
  <c r="P131" i="5"/>
  <c r="O331" i="5"/>
  <c r="O362" i="5"/>
  <c r="O391" i="5" s="1"/>
  <c r="O153" i="5"/>
  <c r="L746" i="7"/>
  <c r="I123" i="5"/>
  <c r="I212" i="5"/>
  <c r="J126" i="5"/>
  <c r="J128" i="5" s="1"/>
  <c r="J129" i="5" s="1"/>
  <c r="B269" i="5"/>
  <c r="B278" i="5"/>
  <c r="G252" i="5"/>
  <c r="G123" i="5" s="1"/>
  <c r="G255" i="5"/>
  <c r="G281" i="5"/>
  <c r="S12" i="9"/>
  <c r="J747" i="7" s="1"/>
  <c r="E794" i="7"/>
  <c r="S241" i="5"/>
  <c r="L57" i="9"/>
  <c r="S194" i="5"/>
  <c r="DB109" i="1"/>
  <c r="S208" i="5"/>
  <c r="DF109" i="1"/>
  <c r="J746" i="7"/>
  <c r="V118" i="8"/>
  <c r="W139" i="5"/>
  <c r="V131" i="9"/>
  <c r="M203" i="9"/>
  <c r="N185" i="9"/>
  <c r="M186" i="9"/>
  <c r="M192" i="9"/>
  <c r="M185" i="9"/>
  <c r="M188" i="9"/>
  <c r="V345" i="5"/>
  <c r="U348" i="5"/>
  <c r="G154" i="9"/>
  <c r="AA333" i="5"/>
  <c r="J207" i="9"/>
  <c r="M130" i="9"/>
  <c r="U131" i="9"/>
  <c r="U142" i="5"/>
  <c r="W334" i="5"/>
  <c r="U141" i="8"/>
  <c r="C190" i="8" s="1"/>
  <c r="D818" i="7"/>
  <c r="AC40" i="1"/>
  <c r="AC49" i="1"/>
  <c r="AC41" i="1"/>
  <c r="AC44" i="1"/>
  <c r="R57" i="5"/>
  <c r="R48" i="5"/>
  <c r="E78" i="9"/>
  <c r="E79" i="9"/>
  <c r="E80" i="9"/>
  <c r="P119" i="8"/>
  <c r="P25" i="8"/>
  <c r="C176" i="8"/>
  <c r="C177" i="8"/>
  <c r="B149" i="8"/>
  <c r="B190" i="8"/>
  <c r="G41" i="5"/>
  <c r="K41" i="5"/>
  <c r="O41" i="5"/>
  <c r="I48" i="5"/>
  <c r="J48" i="5"/>
  <c r="J50" i="5"/>
  <c r="J54" i="5" s="1"/>
  <c r="Q58" i="5"/>
  <c r="CD166" i="1"/>
  <c r="O172" i="1"/>
  <c r="CQ127" i="1"/>
  <c r="AB123" i="1"/>
  <c r="AF190" i="1"/>
  <c r="CQ189" i="1"/>
  <c r="CU189" i="1"/>
  <c r="R241" i="5"/>
  <c r="T118" i="8"/>
  <c r="AT291" i="1"/>
  <c r="DF150" i="1"/>
  <c r="S233" i="5"/>
  <c r="AQ190" i="1"/>
  <c r="AQ172" i="1"/>
  <c r="AQ158" i="1"/>
  <c r="AT210" i="1"/>
  <c r="AQ151" i="1"/>
  <c r="DF151" i="1" s="1"/>
  <c r="C217" i="1"/>
  <c r="DB150" i="1"/>
  <c r="AQ162" i="1"/>
  <c r="AQ152" i="1"/>
  <c r="S116" i="5"/>
  <c r="DF132" i="1"/>
  <c r="DB132" i="1"/>
  <c r="DB166" i="1"/>
  <c r="AQ167" i="1"/>
  <c r="AQ175" i="1"/>
  <c r="AI249" i="1"/>
  <c r="AJ248" i="1"/>
  <c r="K147" i="9"/>
  <c r="K167" i="9"/>
  <c r="K178" i="9"/>
  <c r="S192" i="1"/>
  <c r="S194" i="1"/>
  <c r="CH194" i="1" s="1"/>
  <c r="F137" i="9"/>
  <c r="E180" i="9"/>
  <c r="E137" i="9"/>
  <c r="E116" i="9"/>
  <c r="E115" i="9"/>
  <c r="L154" i="9"/>
  <c r="M159" i="9"/>
  <c r="P11" i="9"/>
  <c r="P185" i="9"/>
  <c r="N360" i="5"/>
  <c r="O335" i="5"/>
  <c r="P360" i="5" s="1"/>
  <c r="M173" i="5"/>
  <c r="N173" i="5"/>
  <c r="M78" i="1"/>
  <c r="CB76" i="1"/>
  <c r="BZ83" i="1"/>
  <c r="O81" i="1"/>
  <c r="O84" i="1"/>
  <c r="K82" i="1"/>
  <c r="K81" i="1" s="1"/>
  <c r="K112" i="5" s="1"/>
  <c r="CO127" i="1"/>
  <c r="CQ128" i="1"/>
  <c r="CU128" i="1"/>
  <c r="AF129" i="1"/>
  <c r="P287" i="5"/>
  <c r="S21" i="8" s="1"/>
  <c r="S137" i="8"/>
  <c r="P223" i="5"/>
  <c r="M40" i="1"/>
  <c r="E753" i="7"/>
  <c r="N20" i="9"/>
  <c r="F150" i="9"/>
  <c r="H17" i="9"/>
  <c r="H20" i="9"/>
  <c r="H158" i="9"/>
  <c r="AG166" i="1"/>
  <c r="AH164" i="1"/>
  <c r="P251" i="5" s="1"/>
  <c r="CS194" i="1"/>
  <c r="AP124" i="1"/>
  <c r="Z152" i="1"/>
  <c r="Z144" i="1"/>
  <c r="Z162" i="1"/>
  <c r="AF20" i="1"/>
  <c r="AF27" i="1"/>
  <c r="AF22" i="1"/>
  <c r="CQ16" i="1"/>
  <c r="AB20" i="1"/>
  <c r="AB27" i="1"/>
  <c r="CM16" i="1"/>
  <c r="N49" i="7" s="1"/>
  <c r="N31" i="7" s="1"/>
  <c r="AB22" i="1"/>
  <c r="AB129" i="1"/>
  <c r="R27" i="1"/>
  <c r="P130" i="7" s="1"/>
  <c r="L107" i="5"/>
  <c r="R22" i="1"/>
  <c r="R20" i="1"/>
  <c r="AI16" i="1"/>
  <c r="AH5" i="1"/>
  <c r="T44" i="7" s="1"/>
  <c r="AI5" i="1"/>
  <c r="U44" i="7" s="1"/>
  <c r="AH9" i="1"/>
  <c r="AI36" i="1"/>
  <c r="AH16" i="1"/>
  <c r="AH36" i="1"/>
  <c r="E760" i="7"/>
  <c r="J431" i="7"/>
  <c r="G437" i="7" s="1"/>
  <c r="R147" i="9"/>
  <c r="AP293" i="1"/>
  <c r="AP250" i="1"/>
  <c r="AQ250" i="1"/>
  <c r="AP254" i="1"/>
  <c r="AT251" i="1"/>
  <c r="AP256" i="1"/>
  <c r="T128" i="1"/>
  <c r="Q149" i="9"/>
  <c r="Q177" i="9"/>
  <c r="K20" i="9"/>
  <c r="K194" i="9"/>
  <c r="L16" i="9"/>
  <c r="C754" i="7" s="1"/>
  <c r="L179" i="9"/>
  <c r="K164" i="9"/>
  <c r="K165" i="9" s="1"/>
  <c r="M48" i="5"/>
  <c r="M57" i="5"/>
  <c r="CJ55" i="1"/>
  <c r="CF55" i="1"/>
  <c r="T143" i="5"/>
  <c r="E150" i="9"/>
  <c r="E139" i="9"/>
  <c r="G78" i="9"/>
  <c r="L50" i="9"/>
  <c r="L51" i="9" s="1"/>
  <c r="L72" i="9"/>
  <c r="L75" i="9" s="1"/>
  <c r="L67" i="9"/>
  <c r="M66" i="9"/>
  <c r="L66" i="9"/>
  <c r="S231" i="9"/>
  <c r="X221" i="9"/>
  <c r="AA202" i="1"/>
  <c r="Z210" i="1"/>
  <c r="AH135" i="1"/>
  <c r="CS134" i="1"/>
  <c r="AI269" i="1"/>
  <c r="AI280" i="1"/>
  <c r="AU106" i="1"/>
  <c r="DF105" i="1"/>
  <c r="W315" i="5"/>
  <c r="AP292" i="1"/>
  <c r="AP255" i="1"/>
  <c r="J362" i="5"/>
  <c r="I131" i="5"/>
  <c r="U79" i="1"/>
  <c r="CJ78" i="1"/>
  <c r="CE106" i="1"/>
  <c r="T107" i="1"/>
  <c r="D137" i="9"/>
  <c r="N44" i="9"/>
  <c r="O44" i="9" s="1"/>
  <c r="M51" i="9"/>
  <c r="AR269" i="1"/>
  <c r="AR280" i="1"/>
  <c r="K296" i="5"/>
  <c r="N110" i="8"/>
  <c r="Q360" i="5"/>
  <c r="AK296" i="1"/>
  <c r="AK235" i="1"/>
  <c r="Y39" i="1"/>
  <c r="Y44" i="1" s="1"/>
  <c r="CJ36" i="1"/>
  <c r="Y37" i="1"/>
  <c r="G26" i="1"/>
  <c r="C27" i="1"/>
  <c r="J74" i="1"/>
  <c r="J68" i="7" s="1"/>
  <c r="R74" i="1"/>
  <c r="S68" i="7" s="1"/>
  <c r="N74" i="1"/>
  <c r="O68" i="7" s="1"/>
  <c r="T74" i="1"/>
  <c r="U68" i="7" s="1"/>
  <c r="CE73" i="1"/>
  <c r="CG73" i="1"/>
  <c r="CK73" i="1"/>
  <c r="V74" i="1"/>
  <c r="W68" i="7" s="1"/>
  <c r="R125" i="7"/>
  <c r="T72" i="1"/>
  <c r="R40" i="1"/>
  <c r="R41" i="1"/>
  <c r="R49" i="1"/>
  <c r="R44" i="1"/>
  <c r="Y9" i="1"/>
  <c r="Z10" i="1"/>
  <c r="J452" i="7" s="1"/>
  <c r="F519" i="7"/>
  <c r="CS151" i="1"/>
  <c r="E559" i="7"/>
  <c r="E557" i="7"/>
  <c r="K122" i="5"/>
  <c r="CU109" i="1"/>
  <c r="CQ109" i="1"/>
  <c r="AE145" i="1"/>
  <c r="CP150" i="1"/>
  <c r="AE183" i="1"/>
  <c r="AE151" i="1"/>
  <c r="AF210" i="1"/>
  <c r="AE190" i="1"/>
  <c r="AE210" i="1"/>
  <c r="P233" i="5"/>
  <c r="AE152" i="1"/>
  <c r="AE162" i="1"/>
  <c r="AG210" i="1"/>
  <c r="AE172" i="1"/>
  <c r="V106" i="1"/>
  <c r="M174" i="5"/>
  <c r="M190" i="5" s="1"/>
  <c r="CG105" i="1"/>
  <c r="CD123" i="1"/>
  <c r="D432" i="7" s="1"/>
  <c r="S20" i="1"/>
  <c r="CH123" i="1"/>
  <c r="H432" i="7" s="1"/>
  <c r="AF166" i="1"/>
  <c r="CQ164" i="1"/>
  <c r="CU164" i="1"/>
  <c r="J532" i="7"/>
  <c r="J549" i="7" s="1"/>
  <c r="J551" i="7" s="1"/>
  <c r="O221" i="5"/>
  <c r="CR133" i="1"/>
  <c r="AC134" i="1"/>
  <c r="AC158" i="1"/>
  <c r="E518" i="7" s="1"/>
  <c r="CN133" i="1"/>
  <c r="AC137" i="1"/>
  <c r="AC183" i="1"/>
  <c r="AC131" i="1"/>
  <c r="AC147" i="1" s="1"/>
  <c r="Q25" i="5"/>
  <c r="Q24" i="5"/>
  <c r="Q22" i="5"/>
  <c r="Q7" i="5"/>
  <c r="Q29" i="5"/>
  <c r="Q23" i="5"/>
  <c r="R32" i="5"/>
  <c r="R29" i="5"/>
  <c r="R30" i="5"/>
  <c r="Q31" i="5"/>
  <c r="Q17" i="5"/>
  <c r="T39" i="8"/>
  <c r="Q30" i="5"/>
  <c r="Q33" i="5"/>
  <c r="Q21" i="5"/>
  <c r="S157" i="5"/>
  <c r="R157" i="5"/>
  <c r="AR166" i="1"/>
  <c r="DG166" i="1" s="1"/>
  <c r="AS164" i="1"/>
  <c r="DC164" i="1"/>
  <c r="H746" i="7"/>
  <c r="R12" i="9"/>
  <c r="I747" i="7" s="1"/>
  <c r="CK105" i="1"/>
  <c r="F766" i="7" s="1"/>
  <c r="S107" i="1"/>
  <c r="L209" i="5"/>
  <c r="L202" i="5"/>
  <c r="L203" i="5" s="1"/>
  <c r="L211" i="5"/>
  <c r="L247" i="5" s="1"/>
  <c r="Q358" i="5"/>
  <c r="O33" i="6"/>
  <c r="F158" i="9"/>
  <c r="G159" i="9" s="1"/>
  <c r="G531" i="7"/>
  <c r="G539" i="7" s="1"/>
  <c r="Y10" i="1"/>
  <c r="I452" i="7" s="1"/>
  <c r="CI73" i="1"/>
  <c r="R31" i="5"/>
  <c r="K34" i="9"/>
  <c r="N28" i="8"/>
  <c r="M72" i="1"/>
  <c r="J125" i="7"/>
  <c r="Q72" i="1"/>
  <c r="T125" i="7"/>
  <c r="V72" i="1"/>
  <c r="I55" i="1"/>
  <c r="I37" i="1"/>
  <c r="D254" i="7"/>
  <c r="D267" i="7" s="1"/>
  <c r="E241" i="7"/>
  <c r="R107" i="1"/>
  <c r="R124" i="1"/>
  <c r="C496" i="7"/>
  <c r="M140" i="9"/>
  <c r="M143" i="9"/>
  <c r="N144" i="9" s="1"/>
  <c r="R124" i="9"/>
  <c r="R126" i="9" s="1"/>
  <c r="Q126" i="9"/>
  <c r="Q127" i="9" s="1"/>
  <c r="CV93" i="1"/>
  <c r="AK97" i="1"/>
  <c r="Q137" i="5"/>
  <c r="AF97" i="1"/>
  <c r="H517" i="7" s="1"/>
  <c r="AF94" i="1"/>
  <c r="CQ93" i="1"/>
  <c r="P137" i="5"/>
  <c r="AI190" i="1"/>
  <c r="CT150" i="1"/>
  <c r="AI210" i="1"/>
  <c r="CX150" i="1"/>
  <c r="AI151" i="1"/>
  <c r="AI152" i="1"/>
  <c r="AI172" i="1"/>
  <c r="K48" i="5"/>
  <c r="O143" i="9"/>
  <c r="J41" i="5"/>
  <c r="F45" i="5"/>
  <c r="F47" i="5" s="1"/>
  <c r="G48" i="5" s="1"/>
  <c r="E47" i="5"/>
  <c r="N74" i="5"/>
  <c r="L148" i="5"/>
  <c r="L144" i="5"/>
  <c r="L145" i="5" s="1"/>
  <c r="L134" i="5"/>
  <c r="E71" i="9"/>
  <c r="E66" i="9"/>
  <c r="E72" i="9"/>
  <c r="I72" i="9"/>
  <c r="I70" i="9"/>
  <c r="J66" i="9"/>
  <c r="I50" i="9"/>
  <c r="I51" i="9" s="1"/>
  <c r="J52" i="9" s="1"/>
  <c r="I71" i="9"/>
  <c r="J67" i="9"/>
  <c r="D127" i="9"/>
  <c r="H129" i="9"/>
  <c r="H143" i="9"/>
  <c r="I137" i="9"/>
  <c r="H141" i="9"/>
  <c r="G124" i="9"/>
  <c r="G126" i="9" s="1"/>
  <c r="F129" i="9"/>
  <c r="G129" i="9"/>
  <c r="BZ76" i="1"/>
  <c r="K78" i="1"/>
  <c r="N116" i="1"/>
  <c r="CC81" i="1"/>
  <c r="AL106" i="1"/>
  <c r="DA106" i="1" s="1"/>
  <c r="DA105" i="1"/>
  <c r="CW105" i="1"/>
  <c r="D4" i="7"/>
  <c r="C4" i="7" s="1"/>
  <c r="C23" i="7"/>
  <c r="AD9" i="1"/>
  <c r="AD10" i="1"/>
  <c r="AG10" i="1"/>
  <c r="AG9" i="1"/>
  <c r="AH10" i="1"/>
  <c r="W167" i="1"/>
  <c r="H59" i="7" s="1"/>
  <c r="CL166" i="1"/>
  <c r="J66" i="7"/>
  <c r="I66" i="1"/>
  <c r="D193" i="7"/>
  <c r="D194" i="7" s="1"/>
  <c r="P19" i="8"/>
  <c r="P144" i="8"/>
  <c r="G19" i="6"/>
  <c r="P43" i="8"/>
  <c r="D44" i="7"/>
  <c r="C451" i="7"/>
  <c r="C453" i="7" s="1"/>
  <c r="CQ134" i="1"/>
  <c r="AF135" i="1"/>
  <c r="AD106" i="1"/>
  <c r="CO105" i="1"/>
  <c r="J766" i="7" s="1"/>
  <c r="CS105" i="1"/>
  <c r="J256" i="5"/>
  <c r="J272" i="5"/>
  <c r="CQ145" i="1"/>
  <c r="S118" i="1"/>
  <c r="M133" i="5"/>
  <c r="L4" i="6"/>
  <c r="L8" i="6" s="1"/>
  <c r="L27" i="6" s="1"/>
  <c r="R309" i="5"/>
  <c r="K43" i="6" s="1"/>
  <c r="F348" i="7" s="1"/>
  <c r="S329" i="5"/>
  <c r="S309" i="5" s="1"/>
  <c r="U3" i="8"/>
  <c r="U4" i="8" s="1"/>
  <c r="CY133" i="1"/>
  <c r="DC133" i="1"/>
  <c r="AN134" i="1"/>
  <c r="R360" i="5"/>
  <c r="AQ127" i="1"/>
  <c r="AQ155" i="1"/>
  <c r="AS106" i="1"/>
  <c r="DH106" i="1" s="1"/>
  <c r="DD105" i="1"/>
  <c r="AS157" i="1"/>
  <c r="DD132" i="1"/>
  <c r="P181" i="5"/>
  <c r="E70" i="9"/>
  <c r="D17" i="5"/>
  <c r="D24" i="5"/>
  <c r="D29" i="5"/>
  <c r="D32" i="5"/>
  <c r="E17" i="5"/>
  <c r="D26" i="5"/>
  <c r="I31" i="5"/>
  <c r="I32" i="5"/>
  <c r="I25" i="5"/>
  <c r="I23" i="5"/>
  <c r="I7" i="5"/>
  <c r="I29" i="5"/>
  <c r="N26" i="5"/>
  <c r="N23" i="5"/>
  <c r="N22" i="5"/>
  <c r="N7" i="5"/>
  <c r="N8" i="5" s="1"/>
  <c r="N30" i="5"/>
  <c r="N18" i="5"/>
  <c r="N25" i="5"/>
  <c r="L78" i="5"/>
  <c r="L74" i="5"/>
  <c r="L143" i="5"/>
  <c r="M176" i="5"/>
  <c r="F50" i="9"/>
  <c r="F51" i="9" s="1"/>
  <c r="F71" i="9"/>
  <c r="F70" i="9"/>
  <c r="F107" i="9"/>
  <c r="G107" i="9"/>
  <c r="F162" i="9"/>
  <c r="J154" i="9"/>
  <c r="H124" i="9"/>
  <c r="H126" i="9" s="1"/>
  <c r="G193" i="9"/>
  <c r="L124" i="9"/>
  <c r="L126" i="9" s="1"/>
  <c r="K129" i="9"/>
  <c r="H38" i="9"/>
  <c r="H40" i="9" s="1"/>
  <c r="H9" i="9"/>
  <c r="H177" i="9"/>
  <c r="F193" i="9"/>
  <c r="K8" i="9"/>
  <c r="J15" i="9"/>
  <c r="J8" i="9"/>
  <c r="O28" i="8"/>
  <c r="L294" i="5"/>
  <c r="L305" i="5"/>
  <c r="F21" i="6"/>
  <c r="F25" i="6" s="1"/>
  <c r="CJ76" i="1"/>
  <c r="CF76" i="1"/>
  <c r="E10" i="7"/>
  <c r="C24" i="7" s="1"/>
  <c r="AE10" i="1"/>
  <c r="I39" i="1"/>
  <c r="I44" i="1" s="1"/>
  <c r="S84" i="1"/>
  <c r="CD83" i="1"/>
  <c r="S81" i="1"/>
  <c r="O318" i="5"/>
  <c r="P309" i="5" s="1"/>
  <c r="U9" i="1"/>
  <c r="U8" i="1"/>
  <c r="O106" i="1"/>
  <c r="CD106" i="1" s="1"/>
  <c r="CD105" i="1"/>
  <c r="N70" i="9"/>
  <c r="N50" i="9"/>
  <c r="N51" i="9" s="1"/>
  <c r="N67" i="9"/>
  <c r="N66" i="9"/>
  <c r="O67" i="9"/>
  <c r="N71" i="9"/>
  <c r="O66" i="9"/>
  <c r="N140" i="9"/>
  <c r="D496" i="7"/>
  <c r="AJ154" i="1"/>
  <c r="AJ149" i="1"/>
  <c r="O158" i="5"/>
  <c r="AJ144" i="1"/>
  <c r="CY145" i="1"/>
  <c r="I180" i="9"/>
  <c r="I178" i="9"/>
  <c r="E25" i="5"/>
  <c r="E30" i="5"/>
  <c r="E22" i="5"/>
  <c r="E23" i="5"/>
  <c r="F17" i="5"/>
  <c r="G17" i="5"/>
  <c r="H33" i="5"/>
  <c r="G30" i="5"/>
  <c r="G21" i="5"/>
  <c r="G32" i="5"/>
  <c r="G23" i="5"/>
  <c r="J23" i="5"/>
  <c r="J32" i="5"/>
  <c r="K30" i="5"/>
  <c r="L7" i="5"/>
  <c r="L8" i="5" s="1"/>
  <c r="L33" i="5"/>
  <c r="L32" i="5"/>
  <c r="O23" i="5"/>
  <c r="O32" i="5"/>
  <c r="O31" i="5"/>
  <c r="O17" i="5"/>
  <c r="E41" i="5"/>
  <c r="M41" i="5"/>
  <c r="O68" i="5"/>
  <c r="L206" i="5"/>
  <c r="K211" i="5"/>
  <c r="K217" i="5"/>
  <c r="K72" i="9"/>
  <c r="K66" i="9"/>
  <c r="K109" i="9"/>
  <c r="F13" i="9"/>
  <c r="F5" i="9"/>
  <c r="I8" i="9"/>
  <c r="I30" i="9"/>
  <c r="I38" i="9"/>
  <c r="I40" i="9" s="1"/>
  <c r="AH124" i="1"/>
  <c r="L27" i="1"/>
  <c r="I130" i="7" s="1"/>
  <c r="K107" i="5"/>
  <c r="K50" i="5" s="1"/>
  <c r="K54" i="5" s="1"/>
  <c r="H22" i="6"/>
  <c r="Q111" i="8"/>
  <c r="C293" i="7"/>
  <c r="C289" i="7"/>
  <c r="C292" i="7"/>
  <c r="CJ125" i="1"/>
  <c r="J434" i="7" s="1"/>
  <c r="M137" i="9"/>
  <c r="M9" i="9"/>
  <c r="D743" i="7" s="1"/>
  <c r="M177" i="9"/>
  <c r="AE106" i="1"/>
  <c r="CP105" i="1"/>
  <c r="L766" i="7" s="1"/>
  <c r="O22" i="8"/>
  <c r="O23" i="8" s="1"/>
  <c r="O152" i="8"/>
  <c r="L264" i="5"/>
  <c r="AQ10" i="1"/>
  <c r="AR157" i="1"/>
  <c r="AU175" i="1"/>
  <c r="AU172" i="1"/>
  <c r="DF166" i="1"/>
  <c r="N40" i="9"/>
  <c r="O7" i="5"/>
  <c r="O21" i="5"/>
  <c r="O24" i="5"/>
  <c r="O25" i="5"/>
  <c r="R119" i="8"/>
  <c r="R118" i="8" s="1"/>
  <c r="E32" i="5"/>
  <c r="K17" i="5"/>
  <c r="K32" i="5"/>
  <c r="P75" i="9"/>
  <c r="P33" i="5"/>
  <c r="L18" i="5"/>
  <c r="L23" i="5"/>
  <c r="E33" i="5"/>
  <c r="E21" i="5"/>
  <c r="L17" i="5"/>
  <c r="L22" i="5"/>
  <c r="L137" i="9"/>
  <c r="K209" i="5"/>
  <c r="N141" i="8"/>
  <c r="K240" i="5"/>
  <c r="D75" i="9"/>
  <c r="G140" i="9"/>
  <c r="G37" i="9"/>
  <c r="G9" i="9"/>
  <c r="G203" i="9"/>
  <c r="I184" i="9"/>
  <c r="I13" i="9"/>
  <c r="J184" i="9"/>
  <c r="J39" i="9"/>
  <c r="J40" i="9" s="1"/>
  <c r="J32" i="9"/>
  <c r="J208" i="9" s="1"/>
  <c r="P110" i="8"/>
  <c r="P28" i="8"/>
  <c r="X223" i="9"/>
  <c r="X222" i="9" s="1"/>
  <c r="S222" i="9" s="1"/>
  <c r="U229" i="9" s="1"/>
  <c r="S227" i="9"/>
  <c r="CE76" i="1"/>
  <c r="I26" i="1"/>
  <c r="E27" i="1"/>
  <c r="CC73" i="1"/>
  <c r="C52" i="7" s="1"/>
  <c r="C33" i="7" s="1"/>
  <c r="CL188" i="1"/>
  <c r="CH188" i="1"/>
  <c r="G388" i="7"/>
  <c r="N12" i="9"/>
  <c r="E747" i="7" s="1"/>
  <c r="E746" i="7"/>
  <c r="C210" i="7"/>
  <c r="C407" i="7"/>
  <c r="AA190" i="1"/>
  <c r="AD210" i="1"/>
  <c r="AA151" i="1"/>
  <c r="C519" i="7" s="1"/>
  <c r="AA210" i="1"/>
  <c r="U164" i="1"/>
  <c r="V164" i="1" s="1"/>
  <c r="T166" i="1"/>
  <c r="O144" i="5"/>
  <c r="O134" i="5"/>
  <c r="CR93" i="1"/>
  <c r="AG94" i="1"/>
  <c r="R50" i="9"/>
  <c r="R66" i="9"/>
  <c r="S174" i="5"/>
  <c r="DB145" i="1"/>
  <c r="AQ144" i="1"/>
  <c r="DC109" i="1"/>
  <c r="AV236" i="1"/>
  <c r="DF145" i="1"/>
  <c r="L149" i="9"/>
  <c r="L165" i="9" s="1"/>
  <c r="C738" i="7"/>
  <c r="AG152" i="1"/>
  <c r="AG144" i="1"/>
  <c r="AG140" i="1" s="1"/>
  <c r="O126" i="9"/>
  <c r="R22" i="5"/>
  <c r="S22" i="5" s="1"/>
  <c r="R17" i="5"/>
  <c r="R25" i="5"/>
  <c r="S25" i="5" s="1"/>
  <c r="R18" i="5"/>
  <c r="R21" i="5"/>
  <c r="S21" i="5" s="1"/>
  <c r="AU36" i="1"/>
  <c r="DJ36" i="1" s="1"/>
  <c r="AT14" i="1"/>
  <c r="N208" i="5"/>
  <c r="P117" i="5"/>
  <c r="AM151" i="1"/>
  <c r="AM190" i="1"/>
  <c r="AG162" i="1"/>
  <c r="CZ93" i="1"/>
  <c r="CS93" i="1"/>
  <c r="AK36" i="1"/>
  <c r="U39" i="8"/>
  <c r="H107" i="9"/>
  <c r="H117" i="9" s="1"/>
  <c r="R24" i="5"/>
  <c r="AO94" i="1"/>
  <c r="AR250" i="1"/>
  <c r="S147" i="9"/>
  <c r="AR254" i="1"/>
  <c r="AQ293" i="1"/>
  <c r="AQ294" i="1" s="1"/>
  <c r="AT16" i="1"/>
  <c r="DI16" i="1" s="1"/>
  <c r="DI18" i="1" s="1"/>
  <c r="AR144" i="1"/>
  <c r="AR152" i="1"/>
  <c r="DG152" i="1" s="1"/>
  <c r="AU16" i="1"/>
  <c r="S79" i="5"/>
  <c r="S68" i="5"/>
  <c r="AP14" i="1"/>
  <c r="C69" i="11"/>
  <c r="C71" i="11" s="1"/>
  <c r="R148" i="5"/>
  <c r="R326" i="5"/>
  <c r="R327" i="5" s="1"/>
  <c r="R358" i="5"/>
  <c r="AS5" i="1"/>
  <c r="AS291" i="1"/>
  <c r="AS97" i="1"/>
  <c r="DD93" i="1"/>
  <c r="S57" i="5"/>
  <c r="AU210" i="1"/>
  <c r="AR162" i="1"/>
  <c r="AS9" i="1"/>
  <c r="AS12" i="1" s="1"/>
  <c r="AS10" i="1"/>
  <c r="AS250" i="1"/>
  <c r="AS162" i="1"/>
  <c r="AS144" i="1"/>
  <c r="AU9" i="1"/>
  <c r="G43" i="6"/>
  <c r="G27" i="6"/>
  <c r="H27" i="6"/>
  <c r="AW152" i="1"/>
  <c r="DL152" i="1" s="1"/>
  <c r="E27" i="6"/>
  <c r="F27" i="6"/>
  <c r="F15" i="6"/>
  <c r="F43" i="6"/>
  <c r="F7" i="6"/>
  <c r="K7" i="6"/>
  <c r="K27" i="6"/>
  <c r="H7" i="6"/>
  <c r="I27" i="6"/>
  <c r="AO22" i="1" l="1"/>
  <c r="AO55" i="1" s="1"/>
  <c r="AQ210" i="1"/>
  <c r="AO27" i="1"/>
  <c r="DD14" i="1"/>
  <c r="DD16" i="1" s="1"/>
  <c r="DD18" i="1" s="1"/>
  <c r="DF30" i="1"/>
  <c r="Z37" i="1"/>
  <c r="CK37" i="1" s="1"/>
  <c r="AA185" i="1"/>
  <c r="CP183" i="1"/>
  <c r="AD44" i="1"/>
  <c r="AD45" i="1" s="1"/>
  <c r="AD49" i="1"/>
  <c r="CN129" i="1"/>
  <c r="M593" i="7"/>
  <c r="J820" i="7"/>
  <c r="O291" i="5"/>
  <c r="O296" i="5" s="1"/>
  <c r="O302" i="5" s="1"/>
  <c r="J819" i="7"/>
  <c r="O145" i="5"/>
  <c r="T143" i="9"/>
  <c r="I19" i="6"/>
  <c r="I46" i="6" s="1"/>
  <c r="I51" i="6" s="1"/>
  <c r="R144" i="8"/>
  <c r="D257" i="7"/>
  <c r="D269" i="7" s="1"/>
  <c r="O234" i="5"/>
  <c r="CO36" i="1"/>
  <c r="P54" i="7" s="1"/>
  <c r="D180" i="7"/>
  <c r="F194" i="7" s="1"/>
  <c r="CW152" i="1"/>
  <c r="AD40" i="1"/>
  <c r="AD42" i="1" s="1"/>
  <c r="G193" i="7"/>
  <c r="R19" i="8"/>
  <c r="AV160" i="1"/>
  <c r="AH160" i="1"/>
  <c r="N116" i="5"/>
  <c r="N109" i="5" s="1"/>
  <c r="N112" i="5" s="1"/>
  <c r="C121" i="13"/>
  <c r="AU245" i="1"/>
  <c r="T175" i="5"/>
  <c r="CW134" i="1"/>
  <c r="CF37" i="1"/>
  <c r="D406" i="7"/>
  <c r="D211" i="7"/>
  <c r="H75" i="9"/>
  <c r="I750" i="7"/>
  <c r="F1022" i="7"/>
  <c r="L274" i="5"/>
  <c r="H750" i="7"/>
  <c r="E1022" i="7"/>
  <c r="U317" i="5"/>
  <c r="T318" i="5"/>
  <c r="AU292" i="1"/>
  <c r="AU297" i="1" s="1"/>
  <c r="AE22" i="1"/>
  <c r="AE55" i="1" s="1"/>
  <c r="CP55" i="1" s="1"/>
  <c r="AU255" i="1"/>
  <c r="AU291" i="1"/>
  <c r="AE39" i="1"/>
  <c r="AE40" i="1" s="1"/>
  <c r="CX137" i="1"/>
  <c r="F180" i="12"/>
  <c r="F209" i="12"/>
  <c r="O107" i="5"/>
  <c r="O109" i="5" s="1"/>
  <c r="C569" i="7" s="1"/>
  <c r="AY294" i="1"/>
  <c r="D185" i="12"/>
  <c r="AK12" i="1"/>
  <c r="AD27" i="1"/>
  <c r="P22" i="12"/>
  <c r="P138" i="12"/>
  <c r="AL12" i="1"/>
  <c r="AD22" i="1"/>
  <c r="CO22" i="1" s="1"/>
  <c r="P52" i="7" s="1"/>
  <c r="O31" i="12"/>
  <c r="DJ106" i="1"/>
  <c r="D119" i="12"/>
  <c r="O138" i="12"/>
  <c r="G46" i="13"/>
  <c r="G103" i="13"/>
  <c r="G116" i="13" s="1"/>
  <c r="G121" i="13" s="1"/>
  <c r="Y157" i="1"/>
  <c r="P129" i="1"/>
  <c r="M290" i="5"/>
  <c r="M291" i="5" s="1"/>
  <c r="M296" i="5" s="1"/>
  <c r="AE20" i="1"/>
  <c r="CP20" i="1" s="1"/>
  <c r="K37" i="1"/>
  <c r="CH78" i="1"/>
  <c r="CK123" i="1"/>
  <c r="P191" i="5"/>
  <c r="O211" i="5"/>
  <c r="O247" i="5" s="1"/>
  <c r="O277" i="5" s="1"/>
  <c r="K236" i="5"/>
  <c r="K365" i="5" s="1"/>
  <c r="C180" i="8"/>
  <c r="O372" i="5"/>
  <c r="O375" i="5" s="1"/>
  <c r="G30" i="6"/>
  <c r="E15" i="6"/>
  <c r="E36" i="6" s="1"/>
  <c r="C297" i="7"/>
  <c r="C298" i="7" s="1"/>
  <c r="AS255" i="1"/>
  <c r="S42" i="1"/>
  <c r="AS245" i="1"/>
  <c r="AM160" i="1"/>
  <c r="T107" i="5"/>
  <c r="DJ16" i="1"/>
  <c r="DJ18" i="1" s="1"/>
  <c r="CN151" i="1"/>
  <c r="DH152" i="1"/>
  <c r="DM152" i="1"/>
  <c r="CR190" i="1"/>
  <c r="O149" i="8"/>
  <c r="DG16" i="1"/>
  <c r="DG18" i="1" s="1"/>
  <c r="DK16" i="1"/>
  <c r="DK18" i="1" s="1"/>
  <c r="CD22" i="1"/>
  <c r="D52" i="7" s="1"/>
  <c r="D33" i="7" s="1"/>
  <c r="AX94" i="1"/>
  <c r="AX92" i="1" s="1"/>
  <c r="DI92" i="1" s="1"/>
  <c r="AW92" i="1"/>
  <c r="AO292" i="1"/>
  <c r="AO297" i="1" s="1"/>
  <c r="AO245" i="1"/>
  <c r="AW194" i="1"/>
  <c r="DH194" i="1" s="1"/>
  <c r="AW192" i="1"/>
  <c r="DH192" i="1" s="1"/>
  <c r="DK92" i="1"/>
  <c r="DG92" i="1"/>
  <c r="D302" i="7"/>
  <c r="C902" i="7"/>
  <c r="I4" i="7"/>
  <c r="E302" i="7"/>
  <c r="D298" i="7"/>
  <c r="G387" i="7"/>
  <c r="H387" i="7" s="1"/>
  <c r="H386" i="7" s="1"/>
  <c r="C903" i="7"/>
  <c r="D785" i="7"/>
  <c r="D309" i="7"/>
  <c r="C905" i="7"/>
  <c r="H28" i="7"/>
  <c r="H25" i="7"/>
  <c r="H24" i="7"/>
  <c r="H26" i="7"/>
  <c r="G389" i="7"/>
  <c r="V143" i="5"/>
  <c r="T79" i="1"/>
  <c r="CI79" i="1" s="1"/>
  <c r="V55" i="1"/>
  <c r="CK55" i="1" s="1"/>
  <c r="CZ150" i="1"/>
  <c r="AQ20" i="1"/>
  <c r="M437" i="7"/>
  <c r="N5" i="7"/>
  <c r="N10" i="7" s="1"/>
  <c r="L24" i="7" s="1"/>
  <c r="F10" i="7"/>
  <c r="D27" i="7" s="1"/>
  <c r="AS292" i="1"/>
  <c r="AS297" i="1" s="1"/>
  <c r="CQ36" i="1"/>
  <c r="R54" i="7" s="1"/>
  <c r="CU134" i="1"/>
  <c r="I453" i="7"/>
  <c r="AP134" i="1"/>
  <c r="AP135" i="1" s="1"/>
  <c r="S144" i="1"/>
  <c r="DB137" i="1"/>
  <c r="AK20" i="1"/>
  <c r="CZ20" i="1" s="1"/>
  <c r="CN20" i="1"/>
  <c r="AK135" i="1"/>
  <c r="AR20" i="1"/>
  <c r="DE133" i="1"/>
  <c r="R38" i="9"/>
  <c r="Q107" i="1"/>
  <c r="CY137" i="1"/>
  <c r="CU137" i="1"/>
  <c r="CK78" i="1"/>
  <c r="P45" i="1"/>
  <c r="P46" i="1"/>
  <c r="P47" i="1" s="1"/>
  <c r="AP297" i="1"/>
  <c r="R116" i="8"/>
  <c r="R79" i="9"/>
  <c r="G188" i="7"/>
  <c r="H188" i="7" s="1"/>
  <c r="H192" i="7" s="1"/>
  <c r="F194" i="9"/>
  <c r="S287" i="5"/>
  <c r="V21" i="8" s="1"/>
  <c r="DI134" i="1"/>
  <c r="AX135" i="1"/>
  <c r="AL297" i="1"/>
  <c r="I126" i="5"/>
  <c r="I128" i="5" s="1"/>
  <c r="I129" i="5" s="1"/>
  <c r="E17" i="9"/>
  <c r="K112" i="9"/>
  <c r="M75" i="9"/>
  <c r="CO132" i="1"/>
  <c r="Z20" i="1"/>
  <c r="CO20" i="1" s="1"/>
  <c r="L195" i="9"/>
  <c r="L21" i="9"/>
  <c r="L22" i="9"/>
  <c r="E127" i="9"/>
  <c r="M162" i="9"/>
  <c r="N150" i="9"/>
  <c r="N180" i="9"/>
  <c r="N178" i="9"/>
  <c r="N167" i="9"/>
  <c r="H43" i="6"/>
  <c r="C348" i="7" s="1"/>
  <c r="L9" i="5"/>
  <c r="AQ44" i="1"/>
  <c r="AQ45" i="1" s="1"/>
  <c r="D792" i="7"/>
  <c r="D809" i="7" s="1"/>
  <c r="T186" i="9"/>
  <c r="CF106" i="1"/>
  <c r="K49" i="1"/>
  <c r="AT236" i="1"/>
  <c r="AX236" i="1"/>
  <c r="N164" i="9"/>
  <c r="N165" i="9" s="1"/>
  <c r="AX294" i="1"/>
  <c r="D307" i="7"/>
  <c r="D306" i="7"/>
  <c r="N13" i="8"/>
  <c r="E33" i="6"/>
  <c r="N9" i="5"/>
  <c r="E48" i="5"/>
  <c r="AJ268" i="1"/>
  <c r="AJ280" i="1" s="1"/>
  <c r="N122" i="8"/>
  <c r="F16" i="9"/>
  <c r="R15" i="9"/>
  <c r="R17" i="9" s="1"/>
  <c r="I755" i="7" s="1"/>
  <c r="F30" i="6"/>
  <c r="F42" i="6" s="1"/>
  <c r="F41" i="6" s="1"/>
  <c r="M79" i="9"/>
  <c r="CV164" i="1"/>
  <c r="R178" i="9"/>
  <c r="F20" i="9"/>
  <c r="F195" i="9" s="1"/>
  <c r="V49" i="1"/>
  <c r="O82" i="5"/>
  <c r="K56" i="9"/>
  <c r="P148" i="5"/>
  <c r="P188" i="9"/>
  <c r="CA78" i="1"/>
  <c r="CK188" i="1"/>
  <c r="CN124" i="1"/>
  <c r="AP151" i="1"/>
  <c r="DA151" i="1" s="1"/>
  <c r="P167" i="1"/>
  <c r="AT192" i="1"/>
  <c r="DI192" i="1" s="1"/>
  <c r="DI190" i="1"/>
  <c r="AK276" i="1"/>
  <c r="S150" i="9"/>
  <c r="J144" i="9"/>
  <c r="AT124" i="1"/>
  <c r="DI106" i="1"/>
  <c r="AD129" i="1"/>
  <c r="CO129" i="1" s="1"/>
  <c r="CO16" i="1"/>
  <c r="P49" i="7" s="1"/>
  <c r="I162" i="9"/>
  <c r="J150" i="9"/>
  <c r="I2" i="5"/>
  <c r="J43" i="5"/>
  <c r="J214" i="5" s="1"/>
  <c r="H186" i="9"/>
  <c r="H203" i="9"/>
  <c r="H188" i="9"/>
  <c r="O32" i="9"/>
  <c r="O208" i="9" s="1"/>
  <c r="O39" i="9"/>
  <c r="AP236" i="1"/>
  <c r="AG300" i="1"/>
  <c r="O209" i="5"/>
  <c r="P37" i="9"/>
  <c r="R120" i="5"/>
  <c r="R145" i="5"/>
  <c r="AS236" i="1"/>
  <c r="P141" i="8"/>
  <c r="P178" i="9"/>
  <c r="Q45" i="1"/>
  <c r="Q46" i="1"/>
  <c r="Q47" i="1" s="1"/>
  <c r="I115" i="9"/>
  <c r="I112" i="9"/>
  <c r="P79" i="9"/>
  <c r="P78" i="9"/>
  <c r="P80" i="9"/>
  <c r="L302" i="5"/>
  <c r="L299" i="5"/>
  <c r="O51" i="8" s="1"/>
  <c r="I22" i="9"/>
  <c r="I195" i="9"/>
  <c r="I21" i="9"/>
  <c r="Q184" i="5"/>
  <c r="Q181" i="5"/>
  <c r="R183" i="5"/>
  <c r="M20" i="9"/>
  <c r="M21" i="9" s="1"/>
  <c r="M17" i="9"/>
  <c r="D755" i="7" s="1"/>
  <c r="D753" i="7"/>
  <c r="M16" i="9"/>
  <c r="D754" i="7" s="1"/>
  <c r="N16" i="9"/>
  <c r="E754" i="7" s="1"/>
  <c r="E122" i="9"/>
  <c r="E152" i="9" s="1"/>
  <c r="E182" i="9" s="1"/>
  <c r="E205" i="9" s="1"/>
  <c r="F2" i="9"/>
  <c r="E24" i="9"/>
  <c r="E42" i="9"/>
  <c r="G162" i="9"/>
  <c r="G147" i="9"/>
  <c r="H150" i="9"/>
  <c r="G167" i="9"/>
  <c r="G178" i="9"/>
  <c r="S32" i="9"/>
  <c r="G188" i="9"/>
  <c r="H185" i="9"/>
  <c r="I169" i="9"/>
  <c r="I172" i="9"/>
  <c r="I174" i="9" s="1"/>
  <c r="G165" i="9"/>
  <c r="S177" i="9"/>
  <c r="S179" i="9" s="1"/>
  <c r="S143" i="9"/>
  <c r="Q41" i="1"/>
  <c r="M80" i="9"/>
  <c r="G80" i="9"/>
  <c r="S4" i="9"/>
  <c r="S13" i="9" s="1"/>
  <c r="J748" i="7" s="1"/>
  <c r="V40" i="1"/>
  <c r="T360" i="5"/>
  <c r="T12" i="9"/>
  <c r="L747" i="7" s="1"/>
  <c r="T39" i="9"/>
  <c r="U184" i="9"/>
  <c r="V184" i="9" s="1"/>
  <c r="O536" i="7"/>
  <c r="AL20" i="1"/>
  <c r="N49" i="8"/>
  <c r="N46" i="8"/>
  <c r="N47" i="8" s="1"/>
  <c r="O46" i="8"/>
  <c r="O47" i="8" s="1"/>
  <c r="H29" i="6"/>
  <c r="H30" i="6" s="1"/>
  <c r="Q8" i="8"/>
  <c r="J164" i="9"/>
  <c r="J165" i="9" s="1"/>
  <c r="J180" i="9"/>
  <c r="J178" i="9"/>
  <c r="J167" i="9"/>
  <c r="J179" i="9"/>
  <c r="D172" i="9"/>
  <c r="D174" i="9" s="1"/>
  <c r="D170" i="9"/>
  <c r="D169" i="9"/>
  <c r="L207" i="9"/>
  <c r="L209" i="9" s="1"/>
  <c r="L210" i="9" s="1"/>
  <c r="L34" i="9"/>
  <c r="F80" i="9"/>
  <c r="F79" i="9"/>
  <c r="F78" i="9"/>
  <c r="I4" i="5"/>
  <c r="H4" i="5" s="1"/>
  <c r="G4" i="5" s="1"/>
  <c r="F4" i="5" s="1"/>
  <c r="J8" i="5"/>
  <c r="J108" i="9"/>
  <c r="J104" i="9"/>
  <c r="N43" i="5"/>
  <c r="N214" i="5" s="1"/>
  <c r="F209" i="7" s="1"/>
  <c r="O2" i="5"/>
  <c r="Q38" i="8"/>
  <c r="O4" i="5"/>
  <c r="F178" i="9"/>
  <c r="F167" i="9"/>
  <c r="F179" i="9"/>
  <c r="F180" i="9"/>
  <c r="AV46" i="1"/>
  <c r="AV47" i="1" s="1"/>
  <c r="AV45" i="1"/>
  <c r="Q208" i="9"/>
  <c r="Q209" i="9" s="1"/>
  <c r="Q210" i="9" s="1"/>
  <c r="Q249" i="5"/>
  <c r="Q262" i="5" s="1"/>
  <c r="G185" i="9"/>
  <c r="M150" i="9"/>
  <c r="O8" i="5"/>
  <c r="O9" i="5" s="1"/>
  <c r="K75" i="9"/>
  <c r="AJ210" i="1"/>
  <c r="R127" i="9"/>
  <c r="N114" i="8"/>
  <c r="I170" i="9"/>
  <c r="AO166" i="1"/>
  <c r="AO172" i="1" s="1"/>
  <c r="AO197" i="1" s="1"/>
  <c r="AO200" i="1" s="1"/>
  <c r="J127" i="9"/>
  <c r="H246" i="5"/>
  <c r="H267" i="5" s="1"/>
  <c r="H274" i="5" s="1"/>
  <c r="AQ27" i="1"/>
  <c r="AJ12" i="1"/>
  <c r="AP137" i="1"/>
  <c r="DA137" i="1" s="1"/>
  <c r="V41" i="1"/>
  <c r="U335" i="5"/>
  <c r="F794" i="7"/>
  <c r="F810" i="7" s="1"/>
  <c r="Q34" i="9"/>
  <c r="AE27" i="1"/>
  <c r="J556" i="7"/>
  <c r="O556" i="7" s="1"/>
  <c r="AL22" i="1"/>
  <c r="AL55" i="1" s="1"/>
  <c r="E158" i="9"/>
  <c r="F159" i="9" s="1"/>
  <c r="E117" i="9"/>
  <c r="E120" i="9" s="1"/>
  <c r="N212" i="9"/>
  <c r="N229" i="9"/>
  <c r="Q79" i="9"/>
  <c r="Q78" i="9"/>
  <c r="Q80" i="9"/>
  <c r="N34" i="9"/>
  <c r="N207" i="9"/>
  <c r="N209" i="9" s="1"/>
  <c r="N210" i="9" s="1"/>
  <c r="P49" i="1"/>
  <c r="P41" i="1"/>
  <c r="P40" i="1"/>
  <c r="G343" i="7"/>
  <c r="H353" i="7" s="1"/>
  <c r="G353" i="7"/>
  <c r="H3" i="6"/>
  <c r="D214" i="7"/>
  <c r="K144" i="9"/>
  <c r="K78" i="9"/>
  <c r="K80" i="9"/>
  <c r="K79" i="9"/>
  <c r="N156" i="9"/>
  <c r="O154" i="9"/>
  <c r="G495" i="7"/>
  <c r="F503" i="7"/>
  <c r="M208" i="9"/>
  <c r="M209" i="9" s="1"/>
  <c r="M210" i="9" s="1"/>
  <c r="M34" i="9"/>
  <c r="J133" i="9"/>
  <c r="J134" i="9" s="1"/>
  <c r="J130" i="9"/>
  <c r="G179" i="9"/>
  <c r="M93" i="9"/>
  <c r="L100" i="9"/>
  <c r="AV40" i="1"/>
  <c r="AV49" i="1"/>
  <c r="AV41" i="1"/>
  <c r="G17" i="9"/>
  <c r="G194" i="9"/>
  <c r="G16" i="9"/>
  <c r="G20" i="9"/>
  <c r="Q48" i="5"/>
  <c r="G186" i="9"/>
  <c r="F164" i="9"/>
  <c r="F165" i="9" s="1"/>
  <c r="K320" i="5"/>
  <c r="K179" i="9"/>
  <c r="K46" i="1"/>
  <c r="K47" i="1" s="1"/>
  <c r="K50" i="1" s="1"/>
  <c r="H16" i="9"/>
  <c r="E112" i="9"/>
  <c r="CH192" i="1"/>
  <c r="R221" i="5"/>
  <c r="S224" i="5" s="1"/>
  <c r="M240" i="5"/>
  <c r="AH250" i="1"/>
  <c r="Q145" i="5"/>
  <c r="V79" i="1"/>
  <c r="N56" i="5"/>
  <c r="F453" i="7"/>
  <c r="I158" i="9"/>
  <c r="I117" i="9"/>
  <c r="U88" i="5"/>
  <c r="P90" i="5"/>
  <c r="P89" i="5"/>
  <c r="D707" i="7"/>
  <c r="K40" i="1"/>
  <c r="K41" i="1"/>
  <c r="M154" i="9"/>
  <c r="N159" i="9"/>
  <c r="I116" i="9"/>
  <c r="P48" i="5"/>
  <c r="G189" i="9"/>
  <c r="R208" i="9"/>
  <c r="R209" i="9" s="1"/>
  <c r="R210" i="9" s="1"/>
  <c r="R249" i="5"/>
  <c r="AQ40" i="1"/>
  <c r="AQ42" i="1" s="1"/>
  <c r="AQ49" i="1"/>
  <c r="D116" i="9"/>
  <c r="D115" i="9"/>
  <c r="D117" i="9"/>
  <c r="D112" i="9"/>
  <c r="O13" i="8"/>
  <c r="F33" i="6"/>
  <c r="L316" i="5"/>
  <c r="N133" i="9"/>
  <c r="N134" i="9" s="1"/>
  <c r="O129" i="9"/>
  <c r="L144" i="9"/>
  <c r="AF41" i="1"/>
  <c r="AF44" i="1"/>
  <c r="AF46" i="1" s="1"/>
  <c r="AF47" i="1" s="1"/>
  <c r="AC42" i="1"/>
  <c r="N190" i="5"/>
  <c r="O191" i="5" s="1"/>
  <c r="AS20" i="1"/>
  <c r="DH16" i="1"/>
  <c r="DH18" i="1" s="1"/>
  <c r="DD134" i="1"/>
  <c r="AW135" i="1"/>
  <c r="DH134" i="1"/>
  <c r="AM245" i="1"/>
  <c r="CZ16" i="1"/>
  <c r="AA49" i="7" s="1"/>
  <c r="N54" i="5"/>
  <c r="AR210" i="1"/>
  <c r="Q223" i="5"/>
  <c r="L278" i="5"/>
  <c r="L395" i="5"/>
  <c r="L396" i="5" s="1"/>
  <c r="L397" i="5" s="1"/>
  <c r="N108" i="5"/>
  <c r="AQ236" i="1"/>
  <c r="D447" i="7"/>
  <c r="N50" i="1"/>
  <c r="N51" i="1" s="1"/>
  <c r="DH162" i="1"/>
  <c r="AS39" i="1"/>
  <c r="AS44" i="1" s="1"/>
  <c r="AS45" i="1" s="1"/>
  <c r="DH36" i="1"/>
  <c r="DD30" i="1"/>
  <c r="DH30" i="1"/>
  <c r="AS210" i="1"/>
  <c r="CZ106" i="1"/>
  <c r="Q73" i="5"/>
  <c r="AT164" i="1"/>
  <c r="AT166" i="1" s="1"/>
  <c r="DI166" i="1" s="1"/>
  <c r="DH164" i="1"/>
  <c r="CJ37" i="1"/>
  <c r="DD36" i="1"/>
  <c r="L269" i="5"/>
  <c r="P52" i="8"/>
  <c r="S79" i="1"/>
  <c r="CH79" i="1" s="1"/>
  <c r="O42" i="1"/>
  <c r="CR194" i="1"/>
  <c r="H818" i="7"/>
  <c r="H820" i="7" s="1"/>
  <c r="AK22" i="1"/>
  <c r="AK55" i="1" s="1"/>
  <c r="CZ55" i="1" s="1"/>
  <c r="CS192" i="1"/>
  <c r="E1971" i="2"/>
  <c r="F1971" i="2" s="1"/>
  <c r="F1969" i="2"/>
  <c r="G1968" i="2" s="1"/>
  <c r="Q71" i="5"/>
  <c r="AQ292" i="1"/>
  <c r="AQ297" i="1" s="1"/>
  <c r="N131" i="8"/>
  <c r="M109" i="5"/>
  <c r="AF300" i="1"/>
  <c r="L240" i="5"/>
  <c r="Q134" i="5"/>
  <c r="AM292" i="1"/>
  <c r="AM297" i="1" s="1"/>
  <c r="AM236" i="1"/>
  <c r="S145" i="5"/>
  <c r="AA46" i="1"/>
  <c r="AA47" i="1" s="1"/>
  <c r="AA45" i="1"/>
  <c r="CQ162" i="1"/>
  <c r="AQ298" i="1"/>
  <c r="P7" i="9"/>
  <c r="G741" i="7" s="1"/>
  <c r="Q222" i="5"/>
  <c r="L437" i="7"/>
  <c r="AO135" i="1"/>
  <c r="CZ137" i="1"/>
  <c r="AQ157" i="1"/>
  <c r="CZ36" i="1"/>
  <c r="AA54" i="7" s="1"/>
  <c r="M78" i="5"/>
  <c r="CV16" i="1"/>
  <c r="W49" i="7" s="1"/>
  <c r="AC55" i="1"/>
  <c r="CN55" i="1" s="1"/>
  <c r="V45" i="7"/>
  <c r="X190" i="1"/>
  <c r="X194" i="1" s="1"/>
  <c r="F178" i="7"/>
  <c r="F179" i="7" s="1"/>
  <c r="H190" i="7" s="1"/>
  <c r="Q287" i="5"/>
  <c r="T21" i="8" s="1"/>
  <c r="CC164" i="1"/>
  <c r="AS135" i="1"/>
  <c r="AQ257" i="1"/>
  <c r="M42" i="1"/>
  <c r="AL160" i="1"/>
  <c r="CA79" i="1"/>
  <c r="N79" i="1"/>
  <c r="CC79" i="1" s="1"/>
  <c r="W45" i="7"/>
  <c r="DG137" i="1"/>
  <c r="AF289" i="1"/>
  <c r="Q166" i="1"/>
  <c r="Q172" i="1" s="1"/>
  <c r="CV134" i="1"/>
  <c r="CA55" i="1"/>
  <c r="Q233" i="5"/>
  <c r="T43" i="8" s="1"/>
  <c r="K238" i="5"/>
  <c r="Q224" i="5"/>
  <c r="CC166" i="1"/>
  <c r="AH256" i="1"/>
  <c r="AK194" i="1"/>
  <c r="CV194" i="1" s="1"/>
  <c r="O61" i="1"/>
  <c r="P65" i="7" s="1"/>
  <c r="T42" i="1"/>
  <c r="CT127" i="1"/>
  <c r="DD137" i="1"/>
  <c r="W55" i="1"/>
  <c r="CL22" i="1"/>
  <c r="M52" i="7" s="1"/>
  <c r="M33" i="7" s="1"/>
  <c r="AP12" i="1"/>
  <c r="AB45" i="7"/>
  <c r="L40" i="1"/>
  <c r="L41" i="1"/>
  <c r="L49" i="1"/>
  <c r="L128" i="5"/>
  <c r="L129" i="5" s="1"/>
  <c r="L228" i="5"/>
  <c r="L238" i="5" s="1"/>
  <c r="AK210" i="1"/>
  <c r="AL210" i="1"/>
  <c r="AC192" i="1"/>
  <c r="CR192" i="1" s="1"/>
  <c r="DD150" i="1"/>
  <c r="AO162" i="1"/>
  <c r="CZ162" i="1" s="1"/>
  <c r="N290" i="5"/>
  <c r="N291" i="5" s="1"/>
  <c r="N296" i="5" s="1"/>
  <c r="AT194" i="1"/>
  <c r="S40" i="8"/>
  <c r="AN255" i="1"/>
  <c r="AN236" i="1"/>
  <c r="V141" i="8"/>
  <c r="D190" i="8" s="1"/>
  <c r="L453" i="7"/>
  <c r="CV137" i="1"/>
  <c r="CV190" i="1"/>
  <c r="W37" i="1"/>
  <c r="CL37" i="1" s="1"/>
  <c r="R45" i="7"/>
  <c r="P37" i="1"/>
  <c r="S37" i="1"/>
  <c r="CD37" i="1" s="1"/>
  <c r="CV192" i="1"/>
  <c r="CU106" i="1"/>
  <c r="Z45" i="7"/>
  <c r="AG27" i="1"/>
  <c r="CR16" i="1"/>
  <c r="CQ106" i="1"/>
  <c r="AF124" i="1"/>
  <c r="CU124" i="1" s="1"/>
  <c r="AC37" i="1"/>
  <c r="CN37" i="1" s="1"/>
  <c r="AI255" i="1"/>
  <c r="AO158" i="1"/>
  <c r="AO151" i="1"/>
  <c r="DD151" i="1" s="1"/>
  <c r="AO37" i="1"/>
  <c r="CI188" i="1"/>
  <c r="AN292" i="1"/>
  <c r="AN297" i="1" s="1"/>
  <c r="L263" i="5"/>
  <c r="N234" i="5"/>
  <c r="AH292" i="1"/>
  <c r="AH297" i="1" s="1"/>
  <c r="N55" i="1"/>
  <c r="R218" i="5"/>
  <c r="U133" i="8" s="1"/>
  <c r="DE150" i="1"/>
  <c r="AO210" i="1"/>
  <c r="Z166" i="1"/>
  <c r="Z167" i="1" s="1"/>
  <c r="L59" i="7" s="1"/>
  <c r="M46" i="1"/>
  <c r="M47" i="1" s="1"/>
  <c r="M50" i="1" s="1"/>
  <c r="M59" i="1" s="1"/>
  <c r="AG20" i="1"/>
  <c r="CR20" i="1" s="1"/>
  <c r="AP20" i="1"/>
  <c r="AP22" i="1"/>
  <c r="AP27" i="1"/>
  <c r="AP39" i="1"/>
  <c r="AP44" i="1" s="1"/>
  <c r="G40" i="7"/>
  <c r="D54" i="7"/>
  <c r="Q40" i="1"/>
  <c r="Q49" i="1"/>
  <c r="F214" i="1"/>
  <c r="F215" i="1" s="1"/>
  <c r="CX134" i="1"/>
  <c r="AM135" i="1"/>
  <c r="CE78" i="1"/>
  <c r="AW160" i="1"/>
  <c r="DE14" i="1"/>
  <c r="DE16" i="1" s="1"/>
  <c r="DE18" i="1" s="1"/>
  <c r="Y45" i="7"/>
  <c r="AQ255" i="1"/>
  <c r="S154" i="1"/>
  <c r="CO183" i="1"/>
  <c r="AI292" i="1"/>
  <c r="AI297" i="1" s="1"/>
  <c r="CM20" i="1"/>
  <c r="G213" i="1"/>
  <c r="AI135" i="1"/>
  <c r="CG165" i="1"/>
  <c r="J439" i="7" s="1"/>
  <c r="AO190" i="1"/>
  <c r="DD190" i="1" s="1"/>
  <c r="O73" i="5"/>
  <c r="O72" i="5" s="1"/>
  <c r="O84" i="5" s="1"/>
  <c r="AG292" i="1"/>
  <c r="AG297" i="1" s="1"/>
  <c r="AR22" i="1"/>
  <c r="AR37" i="1" s="1"/>
  <c r="DF152" i="1"/>
  <c r="AG255" i="1"/>
  <c r="CH22" i="1"/>
  <c r="H52" i="7" s="1"/>
  <c r="H33" i="7" s="1"/>
  <c r="AG22" i="1"/>
  <c r="AG55" i="1" s="1"/>
  <c r="N42" i="1"/>
  <c r="DA16" i="1"/>
  <c r="AB49" i="7" s="1"/>
  <c r="AG39" i="1"/>
  <c r="L44" i="1"/>
  <c r="AK160" i="1"/>
  <c r="M818" i="7"/>
  <c r="M820" i="7" s="1"/>
  <c r="F255" i="7"/>
  <c r="T137" i="8"/>
  <c r="G54" i="7"/>
  <c r="J40" i="7"/>
  <c r="S45" i="1"/>
  <c r="S46" i="1"/>
  <c r="S47" i="1" s="1"/>
  <c r="DF134" i="1"/>
  <c r="AJ127" i="1"/>
  <c r="CU127" i="1" s="1"/>
  <c r="J60" i="7"/>
  <c r="E445" i="7"/>
  <c r="U155" i="1"/>
  <c r="CJ124" i="1"/>
  <c r="J433" i="7" s="1"/>
  <c r="N45" i="7"/>
  <c r="AN12" i="1"/>
  <c r="J453" i="7"/>
  <c r="M124" i="5"/>
  <c r="AB160" i="1"/>
  <c r="D514" i="7" s="1"/>
  <c r="R190" i="5"/>
  <c r="R217" i="5" s="1"/>
  <c r="DC36" i="1"/>
  <c r="AT255" i="1"/>
  <c r="F820" i="7"/>
  <c r="DA190" i="1"/>
  <c r="AB192" i="1"/>
  <c r="AB194" i="1"/>
  <c r="AK175" i="1"/>
  <c r="AK172" i="1"/>
  <c r="AK167" i="1"/>
  <c r="L1255" i="2"/>
  <c r="L1256" i="2" s="1"/>
  <c r="P1256" i="2" s="1"/>
  <c r="P1255" i="2" s="1"/>
  <c r="CR162" i="1"/>
  <c r="DE30" i="1"/>
  <c r="AK124" i="1"/>
  <c r="CV124" i="1" s="1"/>
  <c r="L10" i="7"/>
  <c r="I28" i="7" s="1"/>
  <c r="AQ245" i="1"/>
  <c r="CZ164" i="1"/>
  <c r="CE124" i="1"/>
  <c r="E433" i="7" s="1"/>
  <c r="CN165" i="1"/>
  <c r="F218" i="1"/>
  <c r="AP210" i="1"/>
  <c r="AP158" i="1"/>
  <c r="P120" i="1"/>
  <c r="P119" i="1" s="1"/>
  <c r="O51" i="1"/>
  <c r="O56" i="1" s="1"/>
  <c r="D821" i="7"/>
  <c r="AF40" i="1"/>
  <c r="AR39" i="1"/>
  <c r="AR44" i="1" s="1"/>
  <c r="AR46" i="1" s="1"/>
  <c r="AR47" i="1" s="1"/>
  <c r="AT292" i="1"/>
  <c r="AT297" i="1" s="1"/>
  <c r="AT245" i="1"/>
  <c r="G13" i="7"/>
  <c r="P134" i="5"/>
  <c r="P40" i="7"/>
  <c r="CL20" i="1"/>
  <c r="AP192" i="1"/>
  <c r="Y166" i="1"/>
  <c r="Y167" i="1" s="1"/>
  <c r="J59" i="7" s="1"/>
  <c r="AP152" i="1"/>
  <c r="DA152" i="1" s="1"/>
  <c r="X40" i="1"/>
  <c r="N120" i="1"/>
  <c r="N119" i="1" s="1"/>
  <c r="N129" i="1"/>
  <c r="AL39" i="1"/>
  <c r="DA36" i="1"/>
  <c r="AB54" i="7" s="1"/>
  <c r="R140" i="8"/>
  <c r="O239" i="5"/>
  <c r="DG106" i="1"/>
  <c r="DC106" i="1"/>
  <c r="AC166" i="1"/>
  <c r="CR166" i="1" s="1"/>
  <c r="AD164" i="1"/>
  <c r="CS164" i="1" s="1"/>
  <c r="CN164" i="1"/>
  <c r="AM210" i="1"/>
  <c r="CU150" i="1"/>
  <c r="AJ162" i="1"/>
  <c r="AJ152" i="1"/>
  <c r="CY150" i="1"/>
  <c r="AJ151" i="1"/>
  <c r="CU151" i="1" s="1"/>
  <c r="AJ158" i="1"/>
  <c r="AJ172" i="1"/>
  <c r="M37" i="1"/>
  <c r="M55" i="1"/>
  <c r="CB55" i="1" s="1"/>
  <c r="AA41" i="1"/>
  <c r="AA40" i="1"/>
  <c r="AA49" i="1"/>
  <c r="N254" i="5"/>
  <c r="N255" i="5" s="1"/>
  <c r="H60" i="7"/>
  <c r="C445" i="7"/>
  <c r="I553" i="7"/>
  <c r="I547" i="7" s="1"/>
  <c r="N529" i="7"/>
  <c r="AS160" i="1"/>
  <c r="AJ175" i="1"/>
  <c r="AJ167" i="1"/>
  <c r="G439" i="7"/>
  <c r="E446" i="7" s="1"/>
  <c r="AD46" i="1"/>
  <c r="AD47" i="1" s="1"/>
  <c r="AD50" i="1" s="1"/>
  <c r="AD59" i="1" s="1"/>
  <c r="D439" i="7"/>
  <c r="AF49" i="1"/>
  <c r="AJ155" i="1"/>
  <c r="X41" i="1"/>
  <c r="AS294" i="1"/>
  <c r="AB167" i="1"/>
  <c r="E522" i="7"/>
  <c r="E524" i="7" s="1"/>
  <c r="AB172" i="1"/>
  <c r="CM166" i="1"/>
  <c r="S128" i="1"/>
  <c r="CD127" i="1"/>
  <c r="AL276" i="1"/>
  <c r="AK268" i="1"/>
  <c r="AO12" i="1"/>
  <c r="AU236" i="1"/>
  <c r="CK165" i="1"/>
  <c r="DE190" i="1"/>
  <c r="T141" i="8"/>
  <c r="AH245" i="1"/>
  <c r="CH127" i="1"/>
  <c r="X44" i="1"/>
  <c r="X45" i="1" s="1"/>
  <c r="AA45" i="7"/>
  <c r="AP162" i="1"/>
  <c r="DA162" i="1" s="1"/>
  <c r="DA150" i="1"/>
  <c r="U128" i="1"/>
  <c r="U129" i="1" s="1"/>
  <c r="R233" i="5"/>
  <c r="AO152" i="1"/>
  <c r="X55" i="1"/>
  <c r="X37" i="1"/>
  <c r="CY166" i="1"/>
  <c r="AN124" i="1"/>
  <c r="DC124" i="1" s="1"/>
  <c r="CY106" i="1"/>
  <c r="AL164" i="1"/>
  <c r="AL166" i="1" s="1"/>
  <c r="AL175" i="1" s="1"/>
  <c r="M40" i="7"/>
  <c r="I54" i="7"/>
  <c r="AU12" i="1"/>
  <c r="AV12" i="1"/>
  <c r="DC194" i="1"/>
  <c r="DG194" i="1"/>
  <c r="AV294" i="1"/>
  <c r="AR294" i="1"/>
  <c r="DC30" i="1"/>
  <c r="DG30" i="1"/>
  <c r="AJ27" i="1"/>
  <c r="CU16" i="1"/>
  <c r="V49" i="7" s="1"/>
  <c r="V192" i="1"/>
  <c r="V194" i="1"/>
  <c r="L40" i="7"/>
  <c r="H54" i="7"/>
  <c r="AS27" i="1"/>
  <c r="AS22" i="1"/>
  <c r="DH22" i="1" s="1"/>
  <c r="R229" i="5"/>
  <c r="U140" i="8" s="1"/>
  <c r="C189" i="8" s="1"/>
  <c r="O117" i="5"/>
  <c r="AI298" i="1"/>
  <c r="AI300" i="1"/>
  <c r="Z49" i="1"/>
  <c r="Z41" i="1"/>
  <c r="Z44" i="1"/>
  <c r="Z46" i="1" s="1"/>
  <c r="Z47" i="1" s="1"/>
  <c r="AB46" i="1"/>
  <c r="AB47" i="1" s="1"/>
  <c r="AB45" i="1"/>
  <c r="N117" i="5"/>
  <c r="DB14" i="1"/>
  <c r="DB16" i="1" s="1"/>
  <c r="AV22" i="1"/>
  <c r="DK22" i="1" s="1"/>
  <c r="AV20" i="1"/>
  <c r="AR127" i="1"/>
  <c r="DG127" i="1" s="1"/>
  <c r="DG124" i="1"/>
  <c r="AR155" i="1"/>
  <c r="AA197" i="1"/>
  <c r="AA200" i="1" s="1"/>
  <c r="AA173" i="1"/>
  <c r="CL172" i="1"/>
  <c r="G237" i="7"/>
  <c r="D58" i="7"/>
  <c r="T55" i="1"/>
  <c r="CE22" i="1"/>
  <c r="E52" i="7" s="1"/>
  <c r="E33" i="7" s="1"/>
  <c r="CI22" i="1"/>
  <c r="I52" i="7" s="1"/>
  <c r="I33" i="7" s="1"/>
  <c r="T37" i="1"/>
  <c r="N281" i="5"/>
  <c r="E1027" i="7" s="1"/>
  <c r="G444" i="7"/>
  <c r="DE36" i="1"/>
  <c r="AT39" i="1"/>
  <c r="AT44" i="1" s="1"/>
  <c r="AT46" i="1" s="1"/>
  <c r="AT47" i="1" s="1"/>
  <c r="AM22" i="1"/>
  <c r="AM20" i="1"/>
  <c r="R107" i="5"/>
  <c r="AM27" i="1"/>
  <c r="M817" i="7"/>
  <c r="Q216" i="5"/>
  <c r="M5" i="7"/>
  <c r="R117" i="5"/>
  <c r="S136" i="5"/>
  <c r="T218" i="5" s="1"/>
  <c r="T240" i="5" s="1"/>
  <c r="S218" i="5"/>
  <c r="V133" i="8" s="1"/>
  <c r="AH149" i="1"/>
  <c r="AH157" i="1" s="1"/>
  <c r="AH154" i="1"/>
  <c r="H553" i="7"/>
  <c r="H547" i="7" s="1"/>
  <c r="M529" i="7"/>
  <c r="S107" i="5"/>
  <c r="S50" i="5" s="1"/>
  <c r="S56" i="5" s="1"/>
  <c r="Z40" i="1"/>
  <c r="Q49" i="7"/>
  <c r="AJ22" i="1"/>
  <c r="AJ37" i="1" s="1"/>
  <c r="U131" i="8"/>
  <c r="F723" i="7"/>
  <c r="DG190" i="1"/>
  <c r="DC190" i="1"/>
  <c r="AR192" i="1"/>
  <c r="AJ292" i="1"/>
  <c r="AJ297" i="1" s="1"/>
  <c r="AJ236" i="1"/>
  <c r="CL106" i="1"/>
  <c r="G767" i="7" s="1"/>
  <c r="AA124" i="1"/>
  <c r="T46" i="1"/>
  <c r="T47" i="1" s="1"/>
  <c r="T45" i="1"/>
  <c r="CT109" i="1"/>
  <c r="CP109" i="1"/>
  <c r="W124" i="1"/>
  <c r="CH106" i="1"/>
  <c r="C767" i="7" s="1"/>
  <c r="U40" i="1"/>
  <c r="U49" i="1"/>
  <c r="U41" i="1"/>
  <c r="U44" i="1"/>
  <c r="J46" i="1"/>
  <c r="J47" i="1" s="1"/>
  <c r="J45" i="1"/>
  <c r="DC162" i="1"/>
  <c r="DG162" i="1"/>
  <c r="AH236" i="1"/>
  <c r="AH255" i="1"/>
  <c r="AL236" i="1"/>
  <c r="Q144" i="8"/>
  <c r="Q43" i="8"/>
  <c r="Q19" i="8"/>
  <c r="F193" i="7"/>
  <c r="H19" i="6"/>
  <c r="H46" i="6" s="1"/>
  <c r="H51" i="6" s="1"/>
  <c r="C180" i="7"/>
  <c r="E194" i="7" s="1"/>
  <c r="C257" i="7"/>
  <c r="C269" i="7" s="1"/>
  <c r="H40" i="7"/>
  <c r="E54" i="7"/>
  <c r="O40" i="7"/>
  <c r="L54" i="7"/>
  <c r="AN39" i="1"/>
  <c r="AN44" i="1" s="1"/>
  <c r="CY36" i="1"/>
  <c r="Z54" i="7" s="1"/>
  <c r="AJ39" i="1"/>
  <c r="CU36" i="1"/>
  <c r="V54" i="7" s="1"/>
  <c r="M59" i="7"/>
  <c r="C525" i="7"/>
  <c r="W41" i="1"/>
  <c r="W49" i="1"/>
  <c r="W40" i="1"/>
  <c r="C214" i="1"/>
  <c r="C215" i="1" s="1"/>
  <c r="AQ135" i="1"/>
  <c r="DB134" i="1"/>
  <c r="Z154" i="1"/>
  <c r="Z149" i="1"/>
  <c r="AB40" i="1"/>
  <c r="AB49" i="1"/>
  <c r="AB41" i="1"/>
  <c r="AP166" i="1"/>
  <c r="F54" i="7"/>
  <c r="I40" i="7"/>
  <c r="AN160" i="1"/>
  <c r="AL192" i="1"/>
  <c r="AL194" i="1"/>
  <c r="CW190" i="1"/>
  <c r="AJ192" i="1"/>
  <c r="CY192" i="1" s="1"/>
  <c r="AJ194" i="1"/>
  <c r="CY194" i="1" s="1"/>
  <c r="X124" i="1"/>
  <c r="CM106" i="1"/>
  <c r="H767" i="7" s="1"/>
  <c r="Q128" i="1"/>
  <c r="CF124" i="1"/>
  <c r="F433" i="7" s="1"/>
  <c r="U192" i="1"/>
  <c r="U194" i="1"/>
  <c r="CX106" i="1"/>
  <c r="DB106" i="1"/>
  <c r="AM124" i="1"/>
  <c r="CP128" i="1"/>
  <c r="CT128" i="1"/>
  <c r="AE129" i="1"/>
  <c r="CP129" i="1" s="1"/>
  <c r="Z192" i="1"/>
  <c r="Z194" i="1"/>
  <c r="CK190" i="1"/>
  <c r="CO190" i="1"/>
  <c r="CY190" i="1"/>
  <c r="DC151" i="1"/>
  <c r="R42" i="1"/>
  <c r="CI106" i="1"/>
  <c r="D767" i="7" s="1"/>
  <c r="CD55" i="1"/>
  <c r="F821" i="7"/>
  <c r="J822" i="7" s="1"/>
  <c r="C54" i="7"/>
  <c r="F40" i="7"/>
  <c r="AJ298" i="1"/>
  <c r="AJ300" i="1"/>
  <c r="AA160" i="1"/>
  <c r="C514" i="7" s="1"/>
  <c r="C816" i="7"/>
  <c r="AM39" i="1"/>
  <c r="DB36" i="1"/>
  <c r="DC14" i="1"/>
  <c r="DC16" i="1" s="1"/>
  <c r="DC18" i="1" s="1"/>
  <c r="AN27" i="1"/>
  <c r="AN20" i="1"/>
  <c r="CY16" i="1"/>
  <c r="AN22" i="1"/>
  <c r="W44" i="1"/>
  <c r="H255" i="7"/>
  <c r="H268" i="7" s="1"/>
  <c r="V137" i="8"/>
  <c r="V18" i="8"/>
  <c r="V41" i="8" s="1"/>
  <c r="CT134" i="1"/>
  <c r="AE135" i="1"/>
  <c r="J42" i="1"/>
  <c r="AJ66" i="1"/>
  <c r="AI66" i="1"/>
  <c r="AI67" i="1" s="1"/>
  <c r="AH67" i="1"/>
  <c r="CJ190" i="1"/>
  <c r="Y192" i="1"/>
  <c r="Y194" i="1"/>
  <c r="CN190" i="1"/>
  <c r="CT137" i="1"/>
  <c r="G816" i="7"/>
  <c r="J55" i="1"/>
  <c r="J37" i="1"/>
  <c r="CK22" i="1"/>
  <c r="L52" i="7" s="1"/>
  <c r="L33" i="7" s="1"/>
  <c r="H45" i="7"/>
  <c r="I45" i="7"/>
  <c r="Q211" i="5"/>
  <c r="Q247" i="5" s="1"/>
  <c r="Q191" i="5"/>
  <c r="Q217" i="5"/>
  <c r="R141" i="8"/>
  <c r="Q209" i="5"/>
  <c r="P217" i="5"/>
  <c r="S132" i="8" s="1"/>
  <c r="P211" i="5"/>
  <c r="P247" i="5" s="1"/>
  <c r="S148" i="8" s="1"/>
  <c r="P187" i="5"/>
  <c r="Q187" i="5"/>
  <c r="AG280" i="1"/>
  <c r="AG269" i="1"/>
  <c r="AH280" i="1"/>
  <c r="D723" i="7"/>
  <c r="O240" i="5"/>
  <c r="S141" i="8"/>
  <c r="I557" i="7"/>
  <c r="C723" i="7"/>
  <c r="R40" i="8"/>
  <c r="R131" i="8"/>
  <c r="M54" i="5"/>
  <c r="N51" i="5"/>
  <c r="O52" i="8"/>
  <c r="T394" i="5"/>
  <c r="E323" i="7"/>
  <c r="P222" i="5"/>
  <c r="E179" i="7"/>
  <c r="G190" i="7" s="1"/>
  <c r="L220" i="5"/>
  <c r="R78" i="5"/>
  <c r="R74" i="5"/>
  <c r="E565" i="7"/>
  <c r="C566" i="7"/>
  <c r="H10" i="7"/>
  <c r="F24" i="7" s="1"/>
  <c r="H13" i="7"/>
  <c r="P74" i="5"/>
  <c r="H557" i="7"/>
  <c r="M556" i="7"/>
  <c r="S148" i="9"/>
  <c r="N556" i="7"/>
  <c r="O131" i="8"/>
  <c r="E27" i="7"/>
  <c r="E26" i="7"/>
  <c r="E25" i="7"/>
  <c r="U230" i="9"/>
  <c r="J20" i="6"/>
  <c r="P255" i="5"/>
  <c r="P252" i="5"/>
  <c r="E259" i="7"/>
  <c r="M209" i="5"/>
  <c r="M191" i="5"/>
  <c r="M217" i="5"/>
  <c r="M211" i="5"/>
  <c r="M247" i="5" s="1"/>
  <c r="I45" i="1"/>
  <c r="I46" i="1"/>
  <c r="I47" i="1" s="1"/>
  <c r="S78" i="5"/>
  <c r="S74" i="5"/>
  <c r="K239" i="5"/>
  <c r="K220" i="5"/>
  <c r="K225" i="5" s="1"/>
  <c r="N132" i="8"/>
  <c r="AJ157" i="1"/>
  <c r="Q119" i="5"/>
  <c r="T16" i="8"/>
  <c r="S116" i="8"/>
  <c r="E345" i="7"/>
  <c r="H180" i="9"/>
  <c r="H179" i="9"/>
  <c r="H164" i="9"/>
  <c r="H165" i="9" s="1"/>
  <c r="H167" i="9"/>
  <c r="H178" i="9"/>
  <c r="L82" i="5"/>
  <c r="L71" i="5"/>
  <c r="L76" i="5" s="1"/>
  <c r="L73" i="5"/>
  <c r="AG12" i="1"/>
  <c r="S45" i="7"/>
  <c r="I130" i="9"/>
  <c r="H133" i="9"/>
  <c r="H130" i="9"/>
  <c r="E257" i="7"/>
  <c r="E180" i="7"/>
  <c r="J19" i="6"/>
  <c r="H193" i="7"/>
  <c r="S144" i="8"/>
  <c r="P291" i="5"/>
  <c r="F323" i="7"/>
  <c r="S19" i="8"/>
  <c r="P234" i="5"/>
  <c r="P243" i="5"/>
  <c r="F321" i="7" s="1"/>
  <c r="P281" i="5"/>
  <c r="G1027" i="7" s="1"/>
  <c r="S43" i="8"/>
  <c r="K246" i="5"/>
  <c r="K126" i="5"/>
  <c r="K128" i="5" s="1"/>
  <c r="K129" i="5" s="1"/>
  <c r="K123" i="5"/>
  <c r="AK298" i="1"/>
  <c r="M52" i="9"/>
  <c r="C271" i="7"/>
  <c r="D283" i="7"/>
  <c r="L52" i="9"/>
  <c r="L54" i="9"/>
  <c r="L55" i="9" s="1"/>
  <c r="L56" i="9" s="1"/>
  <c r="E140" i="9"/>
  <c r="F140" i="9"/>
  <c r="E141" i="9"/>
  <c r="R238" i="5"/>
  <c r="U42" i="8"/>
  <c r="U139" i="8"/>
  <c r="C188" i="8" s="1"/>
  <c r="G188" i="8" s="1"/>
  <c r="U45" i="7"/>
  <c r="AI12" i="1"/>
  <c r="AH12" i="1"/>
  <c r="T45" i="7"/>
  <c r="K169" i="9"/>
  <c r="K170" i="9"/>
  <c r="K172" i="9"/>
  <c r="CQ190" i="1"/>
  <c r="AF194" i="1"/>
  <c r="AF192" i="1"/>
  <c r="CU190" i="1"/>
  <c r="CU20" i="1"/>
  <c r="M134" i="9"/>
  <c r="Z52" i="5"/>
  <c r="S58" i="5"/>
  <c r="AK39" i="1"/>
  <c r="AK44" i="1" s="1"/>
  <c r="CV36" i="1"/>
  <c r="W54" i="7" s="1"/>
  <c r="AM194" i="1"/>
  <c r="CX190" i="1"/>
  <c r="F222" i="1"/>
  <c r="AM192" i="1"/>
  <c r="T21" i="5"/>
  <c r="S23" i="5"/>
  <c r="AR298" i="1"/>
  <c r="I207" i="9"/>
  <c r="I209" i="9" s="1"/>
  <c r="I210" i="9" s="1"/>
  <c r="I34" i="9"/>
  <c r="J211" i="5"/>
  <c r="K247" i="5"/>
  <c r="N52" i="9"/>
  <c r="O122" i="8"/>
  <c r="L320" i="5"/>
  <c r="O31" i="8"/>
  <c r="G116" i="9"/>
  <c r="G115" i="9"/>
  <c r="G112" i="9"/>
  <c r="G117" i="9"/>
  <c r="G8" i="5"/>
  <c r="L268" i="5"/>
  <c r="L277" i="5"/>
  <c r="O148" i="8"/>
  <c r="L250" i="5"/>
  <c r="L257" i="5" s="1"/>
  <c r="R46" i="1"/>
  <c r="R47" i="1" s="1"/>
  <c r="R45" i="1"/>
  <c r="J54" i="7"/>
  <c r="N40" i="7"/>
  <c r="I153" i="5"/>
  <c r="I331" i="5"/>
  <c r="I362" i="5"/>
  <c r="H131" i="5"/>
  <c r="Q7" i="9"/>
  <c r="Q179" i="9"/>
  <c r="Q178" i="9"/>
  <c r="R179" i="9"/>
  <c r="AH39" i="1"/>
  <c r="AH44" i="1" s="1"/>
  <c r="CW36" i="1"/>
  <c r="X54" i="7" s="1"/>
  <c r="CS36" i="1"/>
  <c r="T54" i="7" s="1"/>
  <c r="E30" i="6"/>
  <c r="E42" i="6" s="1"/>
  <c r="E41" i="6" s="1"/>
  <c r="G15" i="6"/>
  <c r="G36" i="6" s="1"/>
  <c r="S228" i="5"/>
  <c r="S120" i="5"/>
  <c r="U67" i="5"/>
  <c r="AU22" i="1"/>
  <c r="DJ22" i="1" s="1"/>
  <c r="AU20" i="1"/>
  <c r="DF16" i="1"/>
  <c r="DF18" i="1" s="1"/>
  <c r="H112" i="9"/>
  <c r="H115" i="9"/>
  <c r="H116" i="9"/>
  <c r="T25" i="5"/>
  <c r="AG149" i="1"/>
  <c r="AG157" i="1" s="1"/>
  <c r="I512" i="7" s="1"/>
  <c r="AG154" i="1"/>
  <c r="AU294" i="1"/>
  <c r="CG164" i="1"/>
  <c r="CK164" i="1"/>
  <c r="V166" i="1"/>
  <c r="AA194" i="1"/>
  <c r="CL194" i="1" s="1"/>
  <c r="AA192" i="1"/>
  <c r="CL192" i="1" s="1"/>
  <c r="CL190" i="1"/>
  <c r="I179" i="9"/>
  <c r="DF172" i="1"/>
  <c r="AU197" i="1"/>
  <c r="AU200" i="1" s="1"/>
  <c r="M178" i="9"/>
  <c r="M180" i="9"/>
  <c r="M167" i="9"/>
  <c r="N179" i="9"/>
  <c r="M179" i="9"/>
  <c r="M164" i="9"/>
  <c r="M165" i="9" s="1"/>
  <c r="AH155" i="1"/>
  <c r="AH127" i="1"/>
  <c r="CS127" i="1" s="1"/>
  <c r="N166" i="5"/>
  <c r="N167" i="5" s="1"/>
  <c r="O315" i="5"/>
  <c r="K133" i="9"/>
  <c r="K130" i="9"/>
  <c r="L130" i="9"/>
  <c r="J156" i="9"/>
  <c r="F75" i="9"/>
  <c r="E75" i="9"/>
  <c r="N134" i="5"/>
  <c r="M148" i="5"/>
  <c r="M144" i="5"/>
  <c r="M134" i="5"/>
  <c r="M136" i="5"/>
  <c r="AD124" i="1"/>
  <c r="CO106" i="1"/>
  <c r="J767" i="7" s="1"/>
  <c r="H66" i="1"/>
  <c r="I66" i="7"/>
  <c r="P45" i="7"/>
  <c r="Q45" i="7"/>
  <c r="K79" i="1"/>
  <c r="BZ79" i="1" s="1"/>
  <c r="BZ78" i="1"/>
  <c r="F133" i="9"/>
  <c r="F130" i="9"/>
  <c r="H147" i="9"/>
  <c r="H144" i="9"/>
  <c r="M73" i="5"/>
  <c r="M82" i="5"/>
  <c r="M71" i="5"/>
  <c r="M76" i="5" s="1"/>
  <c r="K818" i="7"/>
  <c r="CX152" i="1"/>
  <c r="CT152" i="1"/>
  <c r="AI160" i="1"/>
  <c r="P136" i="5"/>
  <c r="P218" i="5"/>
  <c r="Q136" i="5"/>
  <c r="Q218" i="5"/>
  <c r="E254" i="7"/>
  <c r="E267" i="7" s="1"/>
  <c r="F241" i="7"/>
  <c r="F154" i="9"/>
  <c r="F155" i="9" s="1"/>
  <c r="AR175" i="1"/>
  <c r="AR167" i="1"/>
  <c r="DC166" i="1"/>
  <c r="AR172" i="1"/>
  <c r="DG172" i="1" s="1"/>
  <c r="G1815" i="2"/>
  <c r="O287" i="5"/>
  <c r="R21" i="8" s="1"/>
  <c r="O223" i="5"/>
  <c r="D255" i="7"/>
  <c r="D178" i="7"/>
  <c r="O243" i="5"/>
  <c r="E321" i="7" s="1"/>
  <c r="R18" i="8"/>
  <c r="R41" i="8" s="1"/>
  <c r="P224" i="5"/>
  <c r="E169" i="7"/>
  <c r="G189" i="7" s="1"/>
  <c r="O220" i="5"/>
  <c r="R137" i="8"/>
  <c r="V107" i="1"/>
  <c r="V124" i="1"/>
  <c r="CK106" i="1"/>
  <c r="F767" i="7" s="1"/>
  <c r="CG106" i="1"/>
  <c r="G818" i="7"/>
  <c r="AE160" i="1"/>
  <c r="G514" i="7" s="1"/>
  <c r="CP145" i="1"/>
  <c r="CT145" i="1"/>
  <c r="AE140" i="1"/>
  <c r="Y46" i="1"/>
  <c r="Y47" i="1" s="1"/>
  <c r="Y45" i="1"/>
  <c r="AK292" i="1"/>
  <c r="AK297" i="1" s="1"/>
  <c r="AK236" i="1"/>
  <c r="AO236" i="1"/>
  <c r="K299" i="5"/>
  <c r="K302" i="5"/>
  <c r="D141" i="9"/>
  <c r="D140" i="9"/>
  <c r="G259" i="7"/>
  <c r="R255" i="5"/>
  <c r="L20" i="6"/>
  <c r="Z13" i="8"/>
  <c r="X315" i="5"/>
  <c r="AA13" i="8" s="1"/>
  <c r="M58" i="5"/>
  <c r="M56" i="5"/>
  <c r="N58" i="5"/>
  <c r="CE128" i="1"/>
  <c r="T183" i="1"/>
  <c r="CE183" i="1" s="1"/>
  <c r="T120" i="1"/>
  <c r="T129" i="1"/>
  <c r="P209" i="5"/>
  <c r="P229" i="5"/>
  <c r="N437" i="7"/>
  <c r="E443" i="7"/>
  <c r="CX36" i="1"/>
  <c r="Y54" i="7" s="1"/>
  <c r="CT36" i="1"/>
  <c r="U54" i="7" s="1"/>
  <c r="AI39" i="1"/>
  <c r="AI44" i="1" s="1"/>
  <c r="CX16" i="1"/>
  <c r="AI27" i="1"/>
  <c r="AI20" i="1"/>
  <c r="AI22" i="1"/>
  <c r="Q107" i="5"/>
  <c r="CT16" i="1"/>
  <c r="M62" i="5"/>
  <c r="AQ37" i="1"/>
  <c r="AQ55" i="1"/>
  <c r="AI250" i="1"/>
  <c r="AI245" i="1"/>
  <c r="AM251" i="1"/>
  <c r="AI293" i="1"/>
  <c r="AI256" i="1"/>
  <c r="AM257" i="1" s="1"/>
  <c r="I144" i="9"/>
  <c r="O5" i="7"/>
  <c r="S117" i="5"/>
  <c r="S216" i="5"/>
  <c r="DF162" i="1"/>
  <c r="DB162" i="1"/>
  <c r="H257" i="7"/>
  <c r="S291" i="5"/>
  <c r="M19" i="6"/>
  <c r="V19" i="8"/>
  <c r="S243" i="5"/>
  <c r="V43" i="8"/>
  <c r="V144" i="8"/>
  <c r="V45" i="1"/>
  <c r="V46" i="1"/>
  <c r="V47" i="1" s="1"/>
  <c r="U336" i="5"/>
  <c r="U360" i="5"/>
  <c r="V335" i="5"/>
  <c r="U26" i="9"/>
  <c r="U132" i="9"/>
  <c r="J34" i="9"/>
  <c r="G156" i="9"/>
  <c r="V132" i="9"/>
  <c r="V26" i="9"/>
  <c r="S127" i="9"/>
  <c r="G273" i="5"/>
  <c r="G256" i="5"/>
  <c r="G272" i="5"/>
  <c r="G122" i="5"/>
  <c r="J267" i="5"/>
  <c r="J274" i="5" s="1"/>
  <c r="U186" i="9"/>
  <c r="M202" i="5"/>
  <c r="M203" i="5" s="1"/>
  <c r="M206" i="5"/>
  <c r="AR160" i="1"/>
  <c r="DC152" i="1"/>
  <c r="N229" i="5"/>
  <c r="I818" i="7"/>
  <c r="AG160" i="1"/>
  <c r="I514" i="7" s="1"/>
  <c r="CV152" i="1"/>
  <c r="I186" i="9"/>
  <c r="I185" i="9"/>
  <c r="I203" i="9"/>
  <c r="I188" i="9"/>
  <c r="N78" i="9"/>
  <c r="N79" i="9"/>
  <c r="N80" i="9"/>
  <c r="O107" i="1"/>
  <c r="O124" i="1"/>
  <c r="I41" i="1"/>
  <c r="I49" i="1"/>
  <c r="I40" i="1"/>
  <c r="L127" i="9"/>
  <c r="M127" i="9"/>
  <c r="AS124" i="1"/>
  <c r="DH124" i="1" s="1"/>
  <c r="DD106" i="1"/>
  <c r="DC134" i="1"/>
  <c r="AR135" i="1"/>
  <c r="AN135" i="1"/>
  <c r="CY134" i="1"/>
  <c r="M4" i="6"/>
  <c r="M8" i="6" s="1"/>
  <c r="V3" i="8"/>
  <c r="V4" i="8" s="1"/>
  <c r="T329" i="5"/>
  <c r="T309" i="5" s="1"/>
  <c r="AL124" i="1"/>
  <c r="DA124" i="1" s="1"/>
  <c r="CW106" i="1"/>
  <c r="G127" i="9"/>
  <c r="G170" i="9"/>
  <c r="I52" i="9"/>
  <c r="I54" i="9"/>
  <c r="C500" i="7"/>
  <c r="AC148" i="1"/>
  <c r="AC149" i="1" s="1"/>
  <c r="AF172" i="1"/>
  <c r="CQ166" i="1"/>
  <c r="AF167" i="1"/>
  <c r="AF175" i="1"/>
  <c r="CU166" i="1"/>
  <c r="CP172" i="1"/>
  <c r="AE173" i="1"/>
  <c r="AE197" i="1"/>
  <c r="AE200" i="1" s="1"/>
  <c r="CP151" i="1"/>
  <c r="G519" i="7"/>
  <c r="L45" i="7"/>
  <c r="J45" i="7"/>
  <c r="CV162" i="1"/>
  <c r="K195" i="9"/>
  <c r="K21" i="9"/>
  <c r="K22" i="9"/>
  <c r="R55" i="1"/>
  <c r="R37" i="1"/>
  <c r="CG37" i="1" s="1"/>
  <c r="AB37" i="1"/>
  <c r="CM22" i="1"/>
  <c r="N52" i="7" s="1"/>
  <c r="N33" i="7" s="1"/>
  <c r="AB55" i="1"/>
  <c r="CQ20" i="1"/>
  <c r="AH166" i="1"/>
  <c r="H22" i="9"/>
  <c r="H195" i="9"/>
  <c r="H21" i="9"/>
  <c r="K120" i="5"/>
  <c r="K115" i="5"/>
  <c r="P39" i="9"/>
  <c r="P32" i="9"/>
  <c r="G746" i="7"/>
  <c r="P12" i="9"/>
  <c r="G747" i="7" s="1"/>
  <c r="P13" i="9"/>
  <c r="G748" i="7" s="1"/>
  <c r="Q12" i="9"/>
  <c r="H747" i="7" s="1"/>
  <c r="S118" i="8"/>
  <c r="Q118" i="8"/>
  <c r="P118" i="8"/>
  <c r="X334" i="5"/>
  <c r="J209" i="9"/>
  <c r="J210" i="9" s="1"/>
  <c r="X139" i="5"/>
  <c r="W142" i="5"/>
  <c r="W143" i="5" s="1"/>
  <c r="W131" i="9"/>
  <c r="E810" i="7"/>
  <c r="N205" i="5"/>
  <c r="O196" i="5"/>
  <c r="DF36" i="1"/>
  <c r="AU39" i="1"/>
  <c r="AU44" i="1" s="1"/>
  <c r="T22" i="5"/>
  <c r="T172" i="1"/>
  <c r="CI166" i="1"/>
  <c r="CE166" i="1"/>
  <c r="T167" i="1"/>
  <c r="E59" i="7" s="1"/>
  <c r="S229" i="9"/>
  <c r="S232" i="9" s="1"/>
  <c r="W226" i="9"/>
  <c r="X227" i="9" s="1"/>
  <c r="K158" i="9"/>
  <c r="K115" i="9"/>
  <c r="K117" i="9"/>
  <c r="K116" i="9"/>
  <c r="G46" i="7"/>
  <c r="F46" i="7"/>
  <c r="S116" i="1"/>
  <c r="M112" i="5"/>
  <c r="CD81" i="1"/>
  <c r="CH81" i="1"/>
  <c r="C26" i="7"/>
  <c r="C27" i="7"/>
  <c r="C25" i="7"/>
  <c r="E18" i="7"/>
  <c r="J17" i="9"/>
  <c r="J16" i="9"/>
  <c r="J194" i="9"/>
  <c r="J20" i="9"/>
  <c r="K16" i="9"/>
  <c r="G52" i="9"/>
  <c r="F52" i="9"/>
  <c r="G345" i="7"/>
  <c r="U116" i="8"/>
  <c r="L14" i="6"/>
  <c r="U11" i="8" s="1"/>
  <c r="V16" i="8"/>
  <c r="AF149" i="1"/>
  <c r="AF157" i="1" s="1"/>
  <c r="H512" i="7" s="1"/>
  <c r="G46" i="6"/>
  <c r="G51" i="6" s="1"/>
  <c r="CT151" i="1"/>
  <c r="CC124" i="1"/>
  <c r="C433" i="7" s="1"/>
  <c r="R128" i="1"/>
  <c r="CR183" i="1"/>
  <c r="CN183" i="1"/>
  <c r="CN134" i="1"/>
  <c r="AG135" i="1"/>
  <c r="AC135" i="1"/>
  <c r="CR134" i="1"/>
  <c r="E519" i="7"/>
  <c r="O51" i="9"/>
  <c r="P44" i="9"/>
  <c r="M9" i="5"/>
  <c r="CG22" i="1"/>
  <c r="G52" i="7" s="1"/>
  <c r="G33" i="7" s="1"/>
  <c r="AU124" i="1"/>
  <c r="DJ124" i="1" s="1"/>
  <c r="DF106" i="1"/>
  <c r="AT294" i="1"/>
  <c r="L108" i="5"/>
  <c r="L109" i="5"/>
  <c r="L50" i="5"/>
  <c r="M108" i="5"/>
  <c r="CQ18" i="1"/>
  <c r="R50" i="7" s="1"/>
  <c r="R49" i="7"/>
  <c r="CK162" i="1"/>
  <c r="CO162" i="1"/>
  <c r="CV166" i="1"/>
  <c r="AG167" i="1"/>
  <c r="AG175" i="1"/>
  <c r="AG172" i="1"/>
  <c r="H154" i="9"/>
  <c r="H159" i="9"/>
  <c r="N21" i="9"/>
  <c r="R37" i="9"/>
  <c r="R188" i="9"/>
  <c r="R13" i="9"/>
  <c r="I748" i="7" s="1"/>
  <c r="I738" i="7"/>
  <c r="D790" i="7"/>
  <c r="CB78" i="1"/>
  <c r="M79" i="1"/>
  <c r="CB79" i="1" s="1"/>
  <c r="L156" i="9"/>
  <c r="M155" i="9"/>
  <c r="AO41" i="1"/>
  <c r="AO49" i="1"/>
  <c r="AO40" i="1"/>
  <c r="AO44" i="1"/>
  <c r="F21" i="9"/>
  <c r="C218" i="1"/>
  <c r="C227" i="1"/>
  <c r="G217" i="1"/>
  <c r="E217" i="1"/>
  <c r="AQ197" i="1"/>
  <c r="AQ200" i="1" s="1"/>
  <c r="DB172" i="1"/>
  <c r="CM123" i="1"/>
  <c r="AB186" i="1"/>
  <c r="AB154" i="1"/>
  <c r="R58" i="5"/>
  <c r="M201" i="9"/>
  <c r="M194" i="9"/>
  <c r="M22" i="9"/>
  <c r="N192" i="9"/>
  <c r="N22" i="9" s="1"/>
  <c r="M193" i="9"/>
  <c r="M197" i="9"/>
  <c r="Q10" i="6"/>
  <c r="T194" i="5"/>
  <c r="P362" i="5"/>
  <c r="P391" i="5" s="1"/>
  <c r="P331" i="5"/>
  <c r="P153" i="5"/>
  <c r="Q131" i="5"/>
  <c r="K269" i="5"/>
  <c r="K395" i="5"/>
  <c r="K396" i="5" s="1"/>
  <c r="K397" i="5" s="1"/>
  <c r="N149" i="8"/>
  <c r="K261" i="5"/>
  <c r="K263" i="5"/>
  <c r="I43" i="6"/>
  <c r="D348" i="7" s="1"/>
  <c r="AT27" i="1"/>
  <c r="AT20" i="1"/>
  <c r="DI20" i="1" s="1"/>
  <c r="AT22" i="1"/>
  <c r="DI22" i="1" s="1"/>
  <c r="CX151" i="1"/>
  <c r="F219" i="1"/>
  <c r="F220" i="1" s="1"/>
  <c r="O127" i="9"/>
  <c r="P127" i="9"/>
  <c r="L162" i="9"/>
  <c r="L147" i="9"/>
  <c r="L150" i="9"/>
  <c r="L178" i="9"/>
  <c r="L167" i="9"/>
  <c r="AR255" i="1"/>
  <c r="AR236" i="1"/>
  <c r="AR245" i="1"/>
  <c r="AR292" i="1"/>
  <c r="AR297" i="1" s="1"/>
  <c r="U174" i="5"/>
  <c r="V174" i="5" s="1"/>
  <c r="W174" i="5" s="1"/>
  <c r="X174" i="5" s="1"/>
  <c r="Y174" i="5" s="1"/>
  <c r="Z174" i="5" s="1"/>
  <c r="AA174" i="5" s="1"/>
  <c r="AB174" i="5" s="1"/>
  <c r="S175" i="5"/>
  <c r="S190" i="5"/>
  <c r="S209" i="5" s="1"/>
  <c r="M251" i="5"/>
  <c r="CF164" i="1"/>
  <c r="CJ164" i="1"/>
  <c r="U166" i="1"/>
  <c r="J203" i="9"/>
  <c r="K185" i="9"/>
  <c r="J185" i="9"/>
  <c r="J186" i="9"/>
  <c r="J188" i="9"/>
  <c r="K278" i="5"/>
  <c r="AT12" i="1"/>
  <c r="AE124" i="1"/>
  <c r="CP106" i="1"/>
  <c r="L767" i="7" s="1"/>
  <c r="CT106" i="1"/>
  <c r="H15" i="6"/>
  <c r="CS106" i="1"/>
  <c r="P158" i="5"/>
  <c r="O164" i="5"/>
  <c r="D500" i="7"/>
  <c r="O78" i="9"/>
  <c r="O80" i="9"/>
  <c r="O79" i="9"/>
  <c r="N75" i="9"/>
  <c r="G45" i="7"/>
  <c r="F45" i="7"/>
  <c r="H127" i="9"/>
  <c r="F115" i="9"/>
  <c r="F112" i="9"/>
  <c r="L7" i="6"/>
  <c r="G130" i="9"/>
  <c r="G133" i="9"/>
  <c r="J78" i="9"/>
  <c r="J79" i="9"/>
  <c r="J80" i="9"/>
  <c r="I75" i="9"/>
  <c r="N71" i="5"/>
  <c r="N76" i="5" s="1"/>
  <c r="N82" i="5"/>
  <c r="N73" i="5"/>
  <c r="F48" i="5"/>
  <c r="AI197" i="1"/>
  <c r="AI200" i="1" s="1"/>
  <c r="AI173" i="1"/>
  <c r="CX172" i="1"/>
  <c r="CT172" i="1"/>
  <c r="AI192" i="1"/>
  <c r="AI194" i="1"/>
  <c r="CT190" i="1"/>
  <c r="M144" i="9"/>
  <c r="M147" i="9"/>
  <c r="F117" i="9"/>
  <c r="AS166" i="1"/>
  <c r="DH166" i="1" s="1"/>
  <c r="DD164" i="1"/>
  <c r="E816" i="7"/>
  <c r="AC160" i="1"/>
  <c r="E514" i="7" s="1"/>
  <c r="N175" i="5"/>
  <c r="M175" i="5"/>
  <c r="CP162" i="1"/>
  <c r="CT162" i="1"/>
  <c r="CP190" i="1"/>
  <c r="AE194" i="1"/>
  <c r="AE192" i="1"/>
  <c r="Y40" i="1"/>
  <c r="Y41" i="1"/>
  <c r="Y49" i="1"/>
  <c r="P145" i="5"/>
  <c r="CF79" i="1"/>
  <c r="CJ79" i="1"/>
  <c r="L80" i="9"/>
  <c r="L79" i="9"/>
  <c r="L78" i="9"/>
  <c r="I127" i="9"/>
  <c r="Q4" i="9"/>
  <c r="R150" i="9"/>
  <c r="Q150" i="9"/>
  <c r="AH27" i="1"/>
  <c r="CS16" i="1"/>
  <c r="CW16" i="1"/>
  <c r="AH20" i="1"/>
  <c r="AH22" i="1"/>
  <c r="P107" i="5"/>
  <c r="AF37" i="1"/>
  <c r="AF55" i="1"/>
  <c r="CQ22" i="1"/>
  <c r="R52" i="7" s="1"/>
  <c r="AP127" i="1"/>
  <c r="AP155" i="1"/>
  <c r="E217" i="7"/>
  <c r="F217" i="7"/>
  <c r="F116" i="9"/>
  <c r="R143" i="9"/>
  <c r="CQ129" i="1"/>
  <c r="L112" i="5"/>
  <c r="O116" i="1"/>
  <c r="O360" i="5"/>
  <c r="AK248" i="1"/>
  <c r="AJ249" i="1"/>
  <c r="AQ160" i="1"/>
  <c r="DB152" i="1"/>
  <c r="C219" i="1"/>
  <c r="C220" i="1" s="1"/>
  <c r="DB151" i="1"/>
  <c r="AQ194" i="1"/>
  <c r="DF190" i="1"/>
  <c r="C222" i="1"/>
  <c r="AQ192" i="1"/>
  <c r="DB190" i="1"/>
  <c r="W141" i="9"/>
  <c r="AC45" i="1"/>
  <c r="AC46" i="1"/>
  <c r="AC47" i="1" s="1"/>
  <c r="D820" i="7"/>
  <c r="U143" i="5"/>
  <c r="V348" i="5"/>
  <c r="W345" i="5"/>
  <c r="R9" i="9"/>
  <c r="I743" i="7" s="1"/>
  <c r="O76" i="5"/>
  <c r="S229" i="5"/>
  <c r="L58" i="9"/>
  <c r="M57" i="9"/>
  <c r="T208" i="9"/>
  <c r="T249" i="5"/>
  <c r="J248" i="5"/>
  <c r="J269" i="5" s="1"/>
  <c r="I150" i="5"/>
  <c r="AU298" i="1"/>
  <c r="F36" i="6"/>
  <c r="F35" i="6"/>
  <c r="F38" i="6"/>
  <c r="F39" i="6" s="1"/>
  <c r="N216" i="5" l="1"/>
  <c r="S7" i="9"/>
  <c r="Q72" i="5"/>
  <c r="T144" i="9"/>
  <c r="AE44" i="1"/>
  <c r="AE46" i="1" s="1"/>
  <c r="AE47" i="1" s="1"/>
  <c r="AE49" i="1"/>
  <c r="I48" i="6"/>
  <c r="F215" i="7" s="1"/>
  <c r="O50" i="5"/>
  <c r="Q52" i="8" s="1"/>
  <c r="N217" i="5"/>
  <c r="Q132" i="8" s="1"/>
  <c r="I5" i="7"/>
  <c r="I10" i="7" s="1"/>
  <c r="O108" i="5"/>
  <c r="Q76" i="5"/>
  <c r="Q69" i="5" s="1"/>
  <c r="N209" i="5"/>
  <c r="DE164" i="1"/>
  <c r="CP22" i="1"/>
  <c r="Q52" i="7" s="1"/>
  <c r="CE129" i="1"/>
  <c r="E35" i="7" s="1"/>
  <c r="AE41" i="1"/>
  <c r="AE42" i="1" s="1"/>
  <c r="G48" i="6"/>
  <c r="D215" i="7" s="1"/>
  <c r="AE37" i="1"/>
  <c r="CP37" i="1" s="1"/>
  <c r="DB20" i="1"/>
  <c r="I753" i="7"/>
  <c r="G750" i="7"/>
  <c r="D1022" i="7"/>
  <c r="F750" i="7"/>
  <c r="C1022" i="7"/>
  <c r="V317" i="5"/>
  <c r="U318" i="5"/>
  <c r="G155" i="9"/>
  <c r="G120" i="9"/>
  <c r="I8" i="5"/>
  <c r="L750" i="7"/>
  <c r="H1022" i="7"/>
  <c r="Q279" i="5"/>
  <c r="N593" i="7"/>
  <c r="R148" i="8"/>
  <c r="DE192" i="1"/>
  <c r="P31" i="12"/>
  <c r="AJ269" i="1"/>
  <c r="K244" i="5"/>
  <c r="F158" i="12"/>
  <c r="F5" i="12"/>
  <c r="AD55" i="1"/>
  <c r="CO55" i="1" s="1"/>
  <c r="AD37" i="1"/>
  <c r="CO37" i="1" s="1"/>
  <c r="D197" i="12"/>
  <c r="E198" i="12" s="1"/>
  <c r="D182" i="12"/>
  <c r="D183" i="12" s="1"/>
  <c r="E186" i="12"/>
  <c r="CZ18" i="1"/>
  <c r="AA50" i="7" s="1"/>
  <c r="DC20" i="1"/>
  <c r="K51" i="1"/>
  <c r="K56" i="1" s="1"/>
  <c r="L64" i="7" s="1"/>
  <c r="DE151" i="1"/>
  <c r="AR49" i="1"/>
  <c r="R40" i="9"/>
  <c r="E1013" i="7" s="1"/>
  <c r="F1021" i="7"/>
  <c r="F1023" i="7" s="1"/>
  <c r="AT41" i="1"/>
  <c r="E38" i="6"/>
  <c r="E39" i="6" s="1"/>
  <c r="E35" i="6"/>
  <c r="S188" i="9"/>
  <c r="CE79" i="1"/>
  <c r="DF20" i="1"/>
  <c r="DJ20" i="1"/>
  <c r="R224" i="5"/>
  <c r="DE134" i="1"/>
  <c r="DG20" i="1"/>
  <c r="DK20" i="1"/>
  <c r="P50" i="1"/>
  <c r="P59" i="1" s="1"/>
  <c r="P60" i="1" s="1"/>
  <c r="P61" i="1" s="1"/>
  <c r="Q65" i="7" s="1"/>
  <c r="K59" i="1"/>
  <c r="K60" i="1" s="1"/>
  <c r="K61" i="1" s="1"/>
  <c r="L65" i="7" s="1"/>
  <c r="T133" i="5"/>
  <c r="DH92" i="1"/>
  <c r="CG55" i="1"/>
  <c r="AT135" i="1"/>
  <c r="T109" i="5"/>
  <c r="T108" i="5"/>
  <c r="R20" i="9"/>
  <c r="R21" i="9" s="1"/>
  <c r="J4" i="7"/>
  <c r="G23" i="7"/>
  <c r="G192" i="7"/>
  <c r="I387" i="7"/>
  <c r="J387" i="7" s="1"/>
  <c r="G18" i="7"/>
  <c r="H821" i="7"/>
  <c r="H822" i="7" s="1"/>
  <c r="D25" i="7"/>
  <c r="L28" i="7"/>
  <c r="N13" i="7"/>
  <c r="J559" i="7"/>
  <c r="D24" i="7"/>
  <c r="AO175" i="1"/>
  <c r="F18" i="7"/>
  <c r="S178" i="9"/>
  <c r="L18" i="7"/>
  <c r="P173" i="1"/>
  <c r="DA134" i="1"/>
  <c r="N191" i="5"/>
  <c r="L26" i="7"/>
  <c r="L27" i="7"/>
  <c r="V42" i="1"/>
  <c r="CZ166" i="1"/>
  <c r="CM190" i="1"/>
  <c r="Z172" i="1"/>
  <c r="Z173" i="1" s="1"/>
  <c r="CZ172" i="1"/>
  <c r="L25" i="7"/>
  <c r="D26" i="7"/>
  <c r="P42" i="1"/>
  <c r="Q50" i="1"/>
  <c r="Q59" i="1" s="1"/>
  <c r="Q60" i="1" s="1"/>
  <c r="Q61" i="1" s="1"/>
  <c r="R65" i="7" s="1"/>
  <c r="M54" i="9"/>
  <c r="M55" i="9" s="1"/>
  <c r="M56" i="9" s="1"/>
  <c r="AA42" i="1"/>
  <c r="DE194" i="1"/>
  <c r="DI194" i="1"/>
  <c r="H8" i="5"/>
  <c r="H9" i="5" s="1"/>
  <c r="DI124" i="1"/>
  <c r="AT127" i="1"/>
  <c r="DI127" i="1" s="1"/>
  <c r="AT155" i="1"/>
  <c r="J217" i="7"/>
  <c r="F22" i="9"/>
  <c r="D796" i="7"/>
  <c r="D811" i="7" s="1"/>
  <c r="F180" i="7"/>
  <c r="F181" i="7" s="1"/>
  <c r="AQ46" i="1"/>
  <c r="AQ47" i="1" s="1"/>
  <c r="AQ50" i="1" s="1"/>
  <c r="AQ51" i="1" s="1"/>
  <c r="AQ56" i="1" s="1"/>
  <c r="H120" i="9"/>
  <c r="AL37" i="1"/>
  <c r="CD79" i="1"/>
  <c r="S251" i="5"/>
  <c r="DI164" i="1"/>
  <c r="D120" i="9"/>
  <c r="J9" i="5"/>
  <c r="N169" i="9"/>
  <c r="N170" i="9"/>
  <c r="O167" i="9"/>
  <c r="N172" i="9"/>
  <c r="N174" i="9" s="1"/>
  <c r="R223" i="5"/>
  <c r="G217" i="7"/>
  <c r="L217" i="7"/>
  <c r="CV18" i="1"/>
  <c r="W50" i="7" s="1"/>
  <c r="D793" i="7"/>
  <c r="AT45" i="1"/>
  <c r="AT50" i="1" s="1"/>
  <c r="I217" i="7"/>
  <c r="DE124" i="1"/>
  <c r="C315" i="7"/>
  <c r="E315" i="7" s="1"/>
  <c r="H217" i="7"/>
  <c r="D217" i="7"/>
  <c r="AK127" i="1"/>
  <c r="CV127" i="1" s="1"/>
  <c r="F257" i="7"/>
  <c r="F269" i="7" s="1"/>
  <c r="U11" i="9"/>
  <c r="U32" i="9" s="1"/>
  <c r="U249" i="5" s="1"/>
  <c r="U262" i="5" s="1"/>
  <c r="N211" i="5"/>
  <c r="N247" i="5" s="1"/>
  <c r="Q148" i="8" s="1"/>
  <c r="AK280" i="1"/>
  <c r="AF42" i="1"/>
  <c r="DA20" i="1"/>
  <c r="K9" i="5"/>
  <c r="I43" i="5"/>
  <c r="I214" i="5" s="1"/>
  <c r="H2" i="5"/>
  <c r="AV42" i="1"/>
  <c r="E790" i="7"/>
  <c r="E808" i="7" s="1"/>
  <c r="S145" i="9"/>
  <c r="S144" i="9"/>
  <c r="R262" i="5"/>
  <c r="R279" i="5"/>
  <c r="U90" i="5"/>
  <c r="V88" i="5"/>
  <c r="J116" i="9"/>
  <c r="J115" i="9"/>
  <c r="J112" i="9"/>
  <c r="J117" i="9"/>
  <c r="J172" i="9"/>
  <c r="J168" i="9"/>
  <c r="J169" i="9"/>
  <c r="J170" i="9"/>
  <c r="J171" i="9" s="1"/>
  <c r="R8" i="8"/>
  <c r="I29" i="6"/>
  <c r="I30" i="6" s="1"/>
  <c r="I15" i="6"/>
  <c r="G172" i="9"/>
  <c r="G169" i="9"/>
  <c r="G168" i="9"/>
  <c r="L304" i="5"/>
  <c r="O29" i="8"/>
  <c r="O30" i="8" s="1"/>
  <c r="F44" i="6"/>
  <c r="U137" i="8"/>
  <c r="U18" i="8"/>
  <c r="U41" i="8" s="1"/>
  <c r="R287" i="5"/>
  <c r="U21" i="8" s="1"/>
  <c r="M195" i="9"/>
  <c r="AK155" i="1"/>
  <c r="R253" i="5"/>
  <c r="N59" i="1"/>
  <c r="N60" i="1" s="1"/>
  <c r="N61" i="1" s="1"/>
  <c r="O65" i="7" s="1"/>
  <c r="AV55" i="1"/>
  <c r="AV37" i="1"/>
  <c r="R220" i="5"/>
  <c r="U134" i="8" s="1"/>
  <c r="CZ22" i="1"/>
  <c r="AA52" i="7" s="1"/>
  <c r="N155" i="9"/>
  <c r="M156" i="9"/>
  <c r="CG79" i="1"/>
  <c r="CK79" i="1"/>
  <c r="G22" i="9"/>
  <c r="G21" i="9"/>
  <c r="G195" i="9"/>
  <c r="L108" i="9"/>
  <c r="L104" i="9"/>
  <c r="L112" i="9" s="1"/>
  <c r="G503" i="7"/>
  <c r="H495" i="7"/>
  <c r="I3" i="6"/>
  <c r="E214" i="7"/>
  <c r="P214" i="9"/>
  <c r="O400" i="5"/>
  <c r="O403" i="5" s="1"/>
  <c r="AV50" i="1"/>
  <c r="AV51" i="1" s="1"/>
  <c r="F172" i="9"/>
  <c r="F174" i="9" s="1"/>
  <c r="F169" i="9"/>
  <c r="F170" i="9"/>
  <c r="O43" i="5"/>
  <c r="O214" i="5" s="1"/>
  <c r="G209" i="7" s="1"/>
  <c r="P2" i="5"/>
  <c r="S183" i="5"/>
  <c r="R184" i="5"/>
  <c r="R181" i="5"/>
  <c r="H819" i="7"/>
  <c r="AP160" i="1"/>
  <c r="S222" i="5"/>
  <c r="G178" i="7"/>
  <c r="J738" i="7"/>
  <c r="CZ190" i="1"/>
  <c r="R252" i="5"/>
  <c r="R151" i="5" s="1"/>
  <c r="R150" i="5" s="1"/>
  <c r="R248" i="5" s="1"/>
  <c r="K168" i="9"/>
  <c r="AD51" i="1"/>
  <c r="D566" i="7"/>
  <c r="G566" i="7" s="1"/>
  <c r="AR55" i="1"/>
  <c r="DE152" i="1"/>
  <c r="Q42" i="1"/>
  <c r="AA50" i="1"/>
  <c r="AA51" i="1" s="1"/>
  <c r="AA56" i="1" s="1"/>
  <c r="G190" i="9"/>
  <c r="H189" i="9"/>
  <c r="I159" i="9"/>
  <c r="I154" i="9"/>
  <c r="J159" i="9"/>
  <c r="N93" i="9"/>
  <c r="M100" i="9"/>
  <c r="P154" i="9"/>
  <c r="O156" i="9"/>
  <c r="S249" i="5"/>
  <c r="S208" i="9"/>
  <c r="S209" i="9" s="1"/>
  <c r="S210" i="9" s="1"/>
  <c r="S34" i="9"/>
  <c r="F42" i="9"/>
  <c r="F122" i="9"/>
  <c r="F152" i="9" s="1"/>
  <c r="F182" i="9" s="1"/>
  <c r="F205" i="9" s="1"/>
  <c r="F24" i="9"/>
  <c r="G2" i="9"/>
  <c r="I120" i="9"/>
  <c r="AK37" i="1"/>
  <c r="CZ37" i="1" s="1"/>
  <c r="G255" i="7"/>
  <c r="H256" i="7" s="1"/>
  <c r="R222" i="5"/>
  <c r="S37" i="9"/>
  <c r="S5" i="9"/>
  <c r="E791" i="7" s="1"/>
  <c r="DE20" i="1"/>
  <c r="AO167" i="1"/>
  <c r="Q243" i="5"/>
  <c r="G321" i="7" s="1"/>
  <c r="CY151" i="1"/>
  <c r="R240" i="5"/>
  <c r="J557" i="7"/>
  <c r="P129" i="9"/>
  <c r="O133" i="9"/>
  <c r="O134" i="9" s="1"/>
  <c r="O136" i="9"/>
  <c r="K42" i="1"/>
  <c r="E161" i="9"/>
  <c r="E159" i="9"/>
  <c r="R38" i="8"/>
  <c r="P4" i="5"/>
  <c r="O24" i="8"/>
  <c r="AL172" i="1"/>
  <c r="AL197" i="1" s="1"/>
  <c r="AL200" i="1" s="1"/>
  <c r="AS40" i="1"/>
  <c r="AS49" i="1"/>
  <c r="AS41" i="1"/>
  <c r="AF45" i="1"/>
  <c r="AF50" i="1" s="1"/>
  <c r="CI190" i="1"/>
  <c r="P15" i="9"/>
  <c r="G753" i="7" s="1"/>
  <c r="Z45" i="1"/>
  <c r="Z50" i="1" s="1"/>
  <c r="Z42" i="1"/>
  <c r="DA18" i="1"/>
  <c r="AB50" i="7" s="1"/>
  <c r="S50" i="1"/>
  <c r="S59" i="1" s="1"/>
  <c r="S60" i="1" s="1"/>
  <c r="S61" i="1" s="1"/>
  <c r="T65" i="7" s="1"/>
  <c r="L42" i="1"/>
  <c r="DD20" i="1"/>
  <c r="DH20" i="1"/>
  <c r="X192" i="1"/>
  <c r="CI192" i="1" s="1"/>
  <c r="S109" i="5"/>
  <c r="CE37" i="1"/>
  <c r="P9" i="9"/>
  <c r="G743" i="7" s="1"/>
  <c r="AS46" i="1"/>
  <c r="AS47" i="1" s="1"/>
  <c r="AS50" i="1" s="1"/>
  <c r="T19" i="8"/>
  <c r="Q291" i="5"/>
  <c r="R191" i="5"/>
  <c r="K19" i="6"/>
  <c r="K46" i="6" s="1"/>
  <c r="K51" i="6" s="1"/>
  <c r="G323" i="7"/>
  <c r="P38" i="9"/>
  <c r="H48" i="6"/>
  <c r="E215" i="7" s="1"/>
  <c r="T144" i="8"/>
  <c r="Q234" i="5"/>
  <c r="CZ151" i="1"/>
  <c r="AR45" i="1"/>
  <c r="AR50" i="1" s="1"/>
  <c r="CJ192" i="1"/>
  <c r="N56" i="1"/>
  <c r="N64" i="1" s="1"/>
  <c r="R232" i="5"/>
  <c r="U142" i="8" s="1"/>
  <c r="C191" i="8" s="1"/>
  <c r="DE162" i="1"/>
  <c r="CP194" i="1"/>
  <c r="AO192" i="1"/>
  <c r="CZ192" i="1" s="1"/>
  <c r="M13" i="7"/>
  <c r="AO194" i="1"/>
  <c r="CZ194" i="1" s="1"/>
  <c r="U42" i="1"/>
  <c r="CH37" i="1"/>
  <c r="M60" i="1"/>
  <c r="M61" i="1" s="1"/>
  <c r="N65" i="7" s="1"/>
  <c r="Q45" i="8"/>
  <c r="Q49" i="8" s="1"/>
  <c r="Q22" i="8"/>
  <c r="Q23" i="8" s="1"/>
  <c r="Q152" i="8"/>
  <c r="CR55" i="1"/>
  <c r="CV55" i="1"/>
  <c r="AG49" i="1"/>
  <c r="AG40" i="1"/>
  <c r="AG41" i="1"/>
  <c r="CU22" i="1"/>
  <c r="V52" i="7" s="1"/>
  <c r="S234" i="5"/>
  <c r="Y172" i="1"/>
  <c r="Y173" i="1" s="1"/>
  <c r="M821" i="7"/>
  <c r="DD162" i="1"/>
  <c r="R209" i="5"/>
  <c r="CR22" i="1"/>
  <c r="S52" i="7" s="1"/>
  <c r="AP55" i="1"/>
  <c r="DA55" i="1" s="1"/>
  <c r="AP37" i="1"/>
  <c r="DA22" i="1"/>
  <c r="AB52" i="7" s="1"/>
  <c r="CV22" i="1"/>
  <c r="W52" i="7" s="1"/>
  <c r="AF155" i="1"/>
  <c r="H513" i="7" s="1"/>
  <c r="CQ124" i="1"/>
  <c r="AF123" i="1"/>
  <c r="AJ55" i="1"/>
  <c r="CU55" i="1" s="1"/>
  <c r="H323" i="7"/>
  <c r="G440" i="7"/>
  <c r="R211" i="5"/>
  <c r="R247" i="5" s="1"/>
  <c r="U148" i="8" s="1"/>
  <c r="G190" i="8" s="1"/>
  <c r="AR40" i="1"/>
  <c r="R234" i="5"/>
  <c r="P168" i="1"/>
  <c r="DC22" i="1"/>
  <c r="G215" i="1"/>
  <c r="T50" i="1"/>
  <c r="T59" i="1" s="1"/>
  <c r="T60" i="1" s="1"/>
  <c r="T61" i="1" s="1"/>
  <c r="U65" i="7" s="1"/>
  <c r="X46" i="1"/>
  <c r="X47" i="1" s="1"/>
  <c r="X50" i="1" s="1"/>
  <c r="DG22" i="1"/>
  <c r="M51" i="1"/>
  <c r="M56" i="1" s="1"/>
  <c r="U183" i="1"/>
  <c r="C438" i="7" s="1"/>
  <c r="C440" i="7" s="1"/>
  <c r="AG37" i="1"/>
  <c r="CR37" i="1" s="1"/>
  <c r="L45" i="1"/>
  <c r="L46" i="1"/>
  <c r="L47" i="1" s="1"/>
  <c r="AP45" i="1"/>
  <c r="AP46" i="1"/>
  <c r="AP47" i="1" s="1"/>
  <c r="R243" i="5"/>
  <c r="H321" i="7" s="1"/>
  <c r="P64" i="7"/>
  <c r="AR41" i="1"/>
  <c r="CU18" i="1"/>
  <c r="V50" i="7" s="1"/>
  <c r="R281" i="5"/>
  <c r="S108" i="5"/>
  <c r="C522" i="7"/>
  <c r="C524" i="7" s="1"/>
  <c r="L255" i="7"/>
  <c r="L256" i="7" s="1"/>
  <c r="F256" i="7"/>
  <c r="F268" i="7"/>
  <c r="AG44" i="1"/>
  <c r="AP41" i="1"/>
  <c r="AP49" i="1"/>
  <c r="AP40" i="1"/>
  <c r="CV20" i="1"/>
  <c r="CR18" i="1"/>
  <c r="S50" i="7" s="1"/>
  <c r="S49" i="7"/>
  <c r="O139" i="8"/>
  <c r="L232" i="5"/>
  <c r="L242" i="5" s="1"/>
  <c r="L276" i="5"/>
  <c r="O42" i="8"/>
  <c r="O48" i="8" s="1"/>
  <c r="O50" i="8" s="1"/>
  <c r="CH55" i="1"/>
  <c r="CL55" i="1"/>
  <c r="Q251" i="5"/>
  <c r="D525" i="7"/>
  <c r="N59" i="7"/>
  <c r="AL167" i="1"/>
  <c r="I25" i="7"/>
  <c r="CN166" i="1"/>
  <c r="AJ160" i="1"/>
  <c r="L818" i="7"/>
  <c r="CU152" i="1"/>
  <c r="DA166" i="1"/>
  <c r="CT192" i="1"/>
  <c r="O64" i="1"/>
  <c r="CZ124" i="1"/>
  <c r="I27" i="7"/>
  <c r="L1257" i="2"/>
  <c r="L1258" i="2" s="1"/>
  <c r="P1258" i="2" s="1"/>
  <c r="P1257" i="2" s="1"/>
  <c r="P1253" i="2" s="1"/>
  <c r="CY20" i="1"/>
  <c r="CN192" i="1"/>
  <c r="N264" i="5"/>
  <c r="CY152" i="1"/>
  <c r="U120" i="1"/>
  <c r="U168" i="1" s="1"/>
  <c r="F60" i="7" s="1"/>
  <c r="AN155" i="1"/>
  <c r="AN127" i="1"/>
  <c r="CY124" i="1"/>
  <c r="CZ152" i="1"/>
  <c r="AO160" i="1"/>
  <c r="DD152" i="1"/>
  <c r="AB197" i="1"/>
  <c r="AB200" i="1" s="1"/>
  <c r="AB173" i="1"/>
  <c r="CM172" i="1"/>
  <c r="CU162" i="1"/>
  <c r="CY162" i="1"/>
  <c r="CO164" i="1"/>
  <c r="AD166" i="1"/>
  <c r="CS166" i="1" s="1"/>
  <c r="O251" i="5"/>
  <c r="BZ164" i="1"/>
  <c r="X42" i="1"/>
  <c r="AK173" i="1"/>
  <c r="AK197" i="1"/>
  <c r="AK200" i="1" s="1"/>
  <c r="AK269" i="1"/>
  <c r="AL280" i="1"/>
  <c r="N124" i="5"/>
  <c r="N122" i="5" s="1"/>
  <c r="C260" i="7"/>
  <c r="G446" i="7"/>
  <c r="H446" i="7" s="1"/>
  <c r="CM37" i="1"/>
  <c r="N273" i="5"/>
  <c r="CJ128" i="1"/>
  <c r="J435" i="7" s="1"/>
  <c r="AJ197" i="1"/>
  <c r="AJ200" i="1" s="1"/>
  <c r="AJ173" i="1"/>
  <c r="CY172" i="1"/>
  <c r="AL44" i="1"/>
  <c r="AL49" i="1"/>
  <c r="AL41" i="1"/>
  <c r="AL40" i="1"/>
  <c r="I24" i="7"/>
  <c r="CW164" i="1"/>
  <c r="I26" i="7"/>
  <c r="N272" i="5"/>
  <c r="S240" i="5"/>
  <c r="DA164" i="1"/>
  <c r="W42" i="1"/>
  <c r="CI37" i="1"/>
  <c r="C316" i="7"/>
  <c r="E316" i="7" s="1"/>
  <c r="U19" i="8"/>
  <c r="U144" i="8"/>
  <c r="G257" i="7"/>
  <c r="G269" i="7" s="1"/>
  <c r="L19" i="6"/>
  <c r="L46" i="6" s="1"/>
  <c r="L51" i="6" s="1"/>
  <c r="G180" i="7"/>
  <c r="R291" i="5"/>
  <c r="U43" i="8"/>
  <c r="S129" i="1"/>
  <c r="CH129" i="1" s="1"/>
  <c r="H35" i="7" s="1"/>
  <c r="S120" i="1"/>
  <c r="CH128" i="1"/>
  <c r="S183" i="1"/>
  <c r="CH183" i="1" s="1"/>
  <c r="L438" i="7" s="1"/>
  <c r="S167" i="1"/>
  <c r="D59" i="7" s="1"/>
  <c r="F522" i="7"/>
  <c r="F524" i="7" s="1"/>
  <c r="AC167" i="1"/>
  <c r="AC172" i="1"/>
  <c r="CR172" i="1" s="1"/>
  <c r="H20" i="6"/>
  <c r="H25" i="6" s="1"/>
  <c r="H42" i="6" s="1"/>
  <c r="H41" i="6" s="1"/>
  <c r="W46" i="1"/>
  <c r="W47" i="1" s="1"/>
  <c r="W45" i="1"/>
  <c r="AM55" i="1"/>
  <c r="DB55" i="1" s="1"/>
  <c r="AM37" i="1"/>
  <c r="DB37" i="1" s="1"/>
  <c r="F444" i="7"/>
  <c r="H444" i="7"/>
  <c r="C821" i="7"/>
  <c r="C820" i="7"/>
  <c r="E214" i="1"/>
  <c r="G214" i="1"/>
  <c r="AN46" i="1"/>
  <c r="AN47" i="1" s="1"/>
  <c r="AN45" i="1"/>
  <c r="U46" i="1"/>
  <c r="U47" i="1" s="1"/>
  <c r="U45" i="1"/>
  <c r="CL124" i="1"/>
  <c r="AA123" i="1"/>
  <c r="AA155" i="1"/>
  <c r="C513" i="7" s="1"/>
  <c r="Q109" i="8"/>
  <c r="Q114" i="8" s="1"/>
  <c r="N282" i="5"/>
  <c r="F212" i="7" s="1"/>
  <c r="N305" i="5"/>
  <c r="CQ37" i="1"/>
  <c r="AT49" i="1"/>
  <c r="Y42" i="1"/>
  <c r="AO42" i="1"/>
  <c r="M10" i="7"/>
  <c r="J24" i="7" s="1"/>
  <c r="CJ194" i="1"/>
  <c r="CN194" i="1"/>
  <c r="CY18" i="1"/>
  <c r="Z50" i="7" s="1"/>
  <c r="Z49" i="7"/>
  <c r="CO194" i="1"/>
  <c r="CK194" i="1"/>
  <c r="AB42" i="1"/>
  <c r="T131" i="8"/>
  <c r="T40" i="8"/>
  <c r="E723" i="7"/>
  <c r="R109" i="5"/>
  <c r="R112" i="5" s="1"/>
  <c r="R50" i="5"/>
  <c r="S51" i="5" s="1"/>
  <c r="E215" i="1"/>
  <c r="AM49" i="1"/>
  <c r="AM41" i="1"/>
  <c r="AM40" i="1"/>
  <c r="CW192" i="1"/>
  <c r="DA192" i="1"/>
  <c r="AJ41" i="1"/>
  <c r="AJ49" i="1"/>
  <c r="AJ40" i="1"/>
  <c r="AB50" i="1"/>
  <c r="AB59" i="1" s="1"/>
  <c r="AB60" i="1" s="1"/>
  <c r="AB61" i="1" s="1"/>
  <c r="CJ129" i="1"/>
  <c r="J35" i="7" s="1"/>
  <c r="AS55" i="1"/>
  <c r="DH55" i="1" s="1"/>
  <c r="DD22" i="1"/>
  <c r="AS37" i="1"/>
  <c r="AN55" i="1"/>
  <c r="AN37" i="1"/>
  <c r="CY37" i="1" s="1"/>
  <c r="CY22" i="1"/>
  <c r="Z52" i="7" s="1"/>
  <c r="Q183" i="1"/>
  <c r="Q120" i="1"/>
  <c r="Q129" i="1"/>
  <c r="CF129" i="1" s="1"/>
  <c r="F35" i="7" s="1"/>
  <c r="Q167" i="1"/>
  <c r="Z157" i="1"/>
  <c r="Z186" i="1"/>
  <c r="N119" i="5"/>
  <c r="DC192" i="1"/>
  <c r="DG192" i="1"/>
  <c r="CI55" i="1"/>
  <c r="CE55" i="1"/>
  <c r="DB18" i="1"/>
  <c r="AC50" i="7" s="1"/>
  <c r="AC49" i="7"/>
  <c r="AT40" i="1"/>
  <c r="C567" i="7"/>
  <c r="C568" i="7" s="1"/>
  <c r="C573" i="7" s="1"/>
  <c r="I42" i="1"/>
  <c r="DB22" i="1"/>
  <c r="AC52" i="7" s="1"/>
  <c r="G817" i="7"/>
  <c r="K817" i="7"/>
  <c r="AJ67" i="1"/>
  <c r="AK66" i="1"/>
  <c r="AM44" i="1"/>
  <c r="CK192" i="1"/>
  <c r="CO192" i="1"/>
  <c r="DB124" i="1"/>
  <c r="CX124" i="1"/>
  <c r="AM155" i="1"/>
  <c r="AM127" i="1"/>
  <c r="X128" i="1"/>
  <c r="X155" i="1"/>
  <c r="CI124" i="1"/>
  <c r="I433" i="7" s="1"/>
  <c r="CM124" i="1"/>
  <c r="DA194" i="1"/>
  <c r="CW194" i="1"/>
  <c r="AP175" i="1"/>
  <c r="AP167" i="1"/>
  <c r="AP172" i="1"/>
  <c r="AP197" i="1" s="1"/>
  <c r="AP200" i="1" s="1"/>
  <c r="AJ44" i="1"/>
  <c r="AN49" i="1"/>
  <c r="AN41" i="1"/>
  <c r="AN40" i="1"/>
  <c r="J50" i="1"/>
  <c r="W155" i="1"/>
  <c r="CH124" i="1"/>
  <c r="H433" i="7" s="1"/>
  <c r="N288" i="5"/>
  <c r="C183" i="7"/>
  <c r="C184" i="7" s="1"/>
  <c r="CF128" i="1"/>
  <c r="Q40" i="8"/>
  <c r="Q131" i="8"/>
  <c r="N72" i="5"/>
  <c r="N84" i="5" s="1"/>
  <c r="L72" i="5"/>
  <c r="L84" i="5" s="1"/>
  <c r="Q239" i="5"/>
  <c r="T132" i="8"/>
  <c r="T148" i="8"/>
  <c r="Q277" i="5"/>
  <c r="F25" i="7"/>
  <c r="F26" i="7"/>
  <c r="F27" i="7"/>
  <c r="H18" i="7"/>
  <c r="R82" i="5"/>
  <c r="R73" i="5"/>
  <c r="R71" i="5"/>
  <c r="R76" i="5" s="1"/>
  <c r="D966" i="7"/>
  <c r="D968" i="7" s="1"/>
  <c r="R29" i="8"/>
  <c r="R30" i="8" s="1"/>
  <c r="O304" i="5"/>
  <c r="O321" i="5" s="1"/>
  <c r="D346" i="7" s="1"/>
  <c r="I44" i="6"/>
  <c r="O134" i="8"/>
  <c r="M302" i="5"/>
  <c r="M299" i="5"/>
  <c r="P82" i="5"/>
  <c r="P73" i="5"/>
  <c r="P71" i="5"/>
  <c r="P76" i="5" s="1"/>
  <c r="L225" i="5"/>
  <c r="AC157" i="1"/>
  <c r="E512" i="7" s="1"/>
  <c r="O119" i="5"/>
  <c r="N57" i="9"/>
  <c r="M58" i="9"/>
  <c r="CW18" i="1"/>
  <c r="X50" i="7" s="1"/>
  <c r="X49" i="7"/>
  <c r="CT194" i="1"/>
  <c r="D501" i="7"/>
  <c r="D508" i="7"/>
  <c r="D506" i="7"/>
  <c r="D507" i="7"/>
  <c r="D505" i="7"/>
  <c r="CF166" i="1"/>
  <c r="U172" i="1"/>
  <c r="U167" i="1"/>
  <c r="F59" i="7" s="1"/>
  <c r="CJ166" i="1"/>
  <c r="T173" i="1"/>
  <c r="CI172" i="1"/>
  <c r="S38" i="9"/>
  <c r="S8" i="9"/>
  <c r="J742" i="7" s="1"/>
  <c r="E792" i="7"/>
  <c r="S9" i="9"/>
  <c r="J743" i="7" s="1"/>
  <c r="J741" i="7"/>
  <c r="S15" i="9"/>
  <c r="CM55" i="1"/>
  <c r="U143" i="9"/>
  <c r="M746" i="7"/>
  <c r="H269" i="7"/>
  <c r="H258" i="7"/>
  <c r="G271" i="7"/>
  <c r="G261" i="7"/>
  <c r="F223" i="1"/>
  <c r="CX192" i="1"/>
  <c r="P109" i="5"/>
  <c r="D569" i="7" s="1"/>
  <c r="P50" i="5"/>
  <c r="P108" i="5"/>
  <c r="E447" i="7"/>
  <c r="I248" i="5"/>
  <c r="I269" i="5" s="1"/>
  <c r="H150" i="5"/>
  <c r="AC50" i="1"/>
  <c r="X141" i="9"/>
  <c r="AL248" i="1"/>
  <c r="AL249" i="1" s="1"/>
  <c r="AK249" i="1"/>
  <c r="L123" i="5"/>
  <c r="L113" i="5"/>
  <c r="L115" i="5"/>
  <c r="L120" i="5"/>
  <c r="CQ55" i="1"/>
  <c r="CS20" i="1"/>
  <c r="CW20" i="1"/>
  <c r="C790" i="7"/>
  <c r="Q13" i="9"/>
  <c r="H748" i="7" s="1"/>
  <c r="Q37" i="9"/>
  <c r="H738" i="7"/>
  <c r="Q188" i="9"/>
  <c r="Q5" i="9"/>
  <c r="CP192" i="1"/>
  <c r="E821" i="7"/>
  <c r="I817" i="7"/>
  <c r="E820" i="7"/>
  <c r="F120" i="9"/>
  <c r="D504" i="7"/>
  <c r="AE123" i="1"/>
  <c r="AE154" i="1" s="1"/>
  <c r="AE155" i="1"/>
  <c r="G513" i="7" s="1"/>
  <c r="CT124" i="1"/>
  <c r="CP124" i="1"/>
  <c r="M281" i="5"/>
  <c r="D1027" i="7" s="1"/>
  <c r="C279" i="7"/>
  <c r="C281" i="7" s="1"/>
  <c r="G20" i="6"/>
  <c r="G25" i="6" s="1"/>
  <c r="G42" i="6" s="1"/>
  <c r="G41" i="6" s="1"/>
  <c r="M255" i="5"/>
  <c r="L170" i="9"/>
  <c r="L171" i="9" s="1"/>
  <c r="L169" i="9"/>
  <c r="L172" i="9"/>
  <c r="L168" i="9"/>
  <c r="U194" i="5"/>
  <c r="G220" i="1"/>
  <c r="E220" i="1"/>
  <c r="R5" i="9"/>
  <c r="CV172" i="1"/>
  <c r="AG173" i="1"/>
  <c r="AG197" i="1"/>
  <c r="O52" i="9"/>
  <c r="R183" i="1"/>
  <c r="CC128" i="1"/>
  <c r="C435" i="7" s="1"/>
  <c r="R129" i="1"/>
  <c r="CC129" i="1" s="1"/>
  <c r="C35" i="7" s="1"/>
  <c r="R167" i="1"/>
  <c r="C59" i="7" s="1"/>
  <c r="R120" i="1"/>
  <c r="M115" i="5"/>
  <c r="N115" i="5" s="1"/>
  <c r="M113" i="5"/>
  <c r="N113" i="5"/>
  <c r="AU49" i="1"/>
  <c r="AU41" i="1"/>
  <c r="AU40" i="1"/>
  <c r="N206" i="5"/>
  <c r="N202" i="5"/>
  <c r="N203" i="5" s="1"/>
  <c r="Y139" i="5"/>
  <c r="X131" i="9"/>
  <c r="X142" i="5"/>
  <c r="X143" i="5" s="1"/>
  <c r="CI194" i="1"/>
  <c r="CM194" i="1"/>
  <c r="S62" i="5"/>
  <c r="S54" i="5"/>
  <c r="U52" i="8"/>
  <c r="C508" i="7"/>
  <c r="C506" i="7"/>
  <c r="C507" i="7"/>
  <c r="C505" i="7"/>
  <c r="L43" i="6"/>
  <c r="G348" i="7" s="1"/>
  <c r="V11" i="8"/>
  <c r="W16" i="8"/>
  <c r="V116" i="8"/>
  <c r="I821" i="7"/>
  <c r="M819" i="7"/>
  <c r="I819" i="7"/>
  <c r="I820" i="7"/>
  <c r="V186" i="9"/>
  <c r="W184" i="9"/>
  <c r="V11" i="9"/>
  <c r="V50" i="1"/>
  <c r="M48" i="6"/>
  <c r="J215" i="7" s="1"/>
  <c r="S296" i="5"/>
  <c r="S302" i="5" s="1"/>
  <c r="M44" i="6" s="1"/>
  <c r="M64" i="5"/>
  <c r="N63" i="5"/>
  <c r="CX20" i="1"/>
  <c r="CT20" i="1"/>
  <c r="Y315" i="5"/>
  <c r="AB13" i="8" s="1"/>
  <c r="M72" i="5"/>
  <c r="M84" i="5" s="1"/>
  <c r="H66" i="7"/>
  <c r="G66" i="1"/>
  <c r="I33" i="6"/>
  <c r="D344" i="7" s="1"/>
  <c r="R13" i="8"/>
  <c r="O316" i="5"/>
  <c r="V67" i="5"/>
  <c r="U74" i="5"/>
  <c r="U78" i="5"/>
  <c r="AH41" i="1"/>
  <c r="AH49" i="1"/>
  <c r="AH40" i="1"/>
  <c r="R50" i="1"/>
  <c r="J247" i="5"/>
  <c r="I211" i="5"/>
  <c r="T23" i="5"/>
  <c r="U21" i="5"/>
  <c r="CX194" i="1"/>
  <c r="F224" i="1"/>
  <c r="CQ194" i="1"/>
  <c r="CU194" i="1"/>
  <c r="K250" i="5"/>
  <c r="K276" i="5"/>
  <c r="K267" i="5"/>
  <c r="K274" i="5" s="1"/>
  <c r="N44" i="8"/>
  <c r="N48" i="8" s="1"/>
  <c r="N50" i="8" s="1"/>
  <c r="N147" i="8"/>
  <c r="J48" i="6"/>
  <c r="G215" i="7" s="1"/>
  <c r="P296" i="5"/>
  <c r="P302" i="5" s="1"/>
  <c r="G194" i="7"/>
  <c r="E181" i="7"/>
  <c r="I50" i="1"/>
  <c r="I59" i="1" s="1"/>
  <c r="I60" i="1" s="1"/>
  <c r="I61" i="1" s="1"/>
  <c r="I65" i="7" s="1"/>
  <c r="F283" i="7"/>
  <c r="F285" i="7" s="1"/>
  <c r="E261" i="7"/>
  <c r="E273" i="7" s="1"/>
  <c r="E271" i="7"/>
  <c r="C224" i="1"/>
  <c r="DF194" i="1"/>
  <c r="DB194" i="1"/>
  <c r="H38" i="6"/>
  <c r="H36" i="6"/>
  <c r="S217" i="5"/>
  <c r="S239" i="5" s="1"/>
  <c r="S191" i="5"/>
  <c r="S211" i="5"/>
  <c r="S247" i="5" s="1"/>
  <c r="S277" i="5" s="1"/>
  <c r="Q331" i="5"/>
  <c r="Q153" i="5"/>
  <c r="R131" i="5"/>
  <c r="Q362" i="5"/>
  <c r="Q391" i="5" s="1"/>
  <c r="R10" i="6"/>
  <c r="G227" i="1"/>
  <c r="E227" i="1"/>
  <c r="J21" i="9"/>
  <c r="J22" i="9"/>
  <c r="J195" i="9"/>
  <c r="AU46" i="1"/>
  <c r="AU47" i="1" s="1"/>
  <c r="AU45" i="1"/>
  <c r="P208" i="9"/>
  <c r="P209" i="9" s="1"/>
  <c r="P210" i="9" s="1"/>
  <c r="P34" i="9"/>
  <c r="P249" i="5"/>
  <c r="CC55" i="1"/>
  <c r="AF173" i="1"/>
  <c r="AF197" i="1"/>
  <c r="AF200" i="1" s="1"/>
  <c r="CQ172" i="1"/>
  <c r="CU172" i="1"/>
  <c r="W3" i="8"/>
  <c r="W4" i="8" s="1"/>
  <c r="U329" i="5"/>
  <c r="U309" i="5" s="1"/>
  <c r="N4" i="6"/>
  <c r="N8" i="6" s="1"/>
  <c r="N7" i="6" s="1"/>
  <c r="O128" i="1"/>
  <c r="CD124" i="1"/>
  <c r="D433" i="7" s="1"/>
  <c r="G723" i="7"/>
  <c r="V40" i="8"/>
  <c r="V131" i="8"/>
  <c r="U49" i="7"/>
  <c r="CT18" i="1"/>
  <c r="U50" i="7" s="1"/>
  <c r="AI46" i="1"/>
  <c r="AI47" i="1" s="1"/>
  <c r="AI45" i="1"/>
  <c r="P277" i="5"/>
  <c r="S140" i="8"/>
  <c r="P239" i="5"/>
  <c r="D457" i="7"/>
  <c r="E435" i="7"/>
  <c r="D181" i="7"/>
  <c r="F254" i="7"/>
  <c r="F267" i="7" s="1"/>
  <c r="G241" i="7"/>
  <c r="S133" i="8"/>
  <c r="P240" i="5"/>
  <c r="P220" i="5"/>
  <c r="AH46" i="1"/>
  <c r="AH47" i="1" s="1"/>
  <c r="AH45" i="1"/>
  <c r="AK46" i="1"/>
  <c r="AK47" i="1" s="1"/>
  <c r="AK45" i="1"/>
  <c r="AA52" i="5"/>
  <c r="K173" i="9"/>
  <c r="K174" i="9"/>
  <c r="E269" i="7"/>
  <c r="E258" i="7"/>
  <c r="H134" i="9"/>
  <c r="I134" i="9"/>
  <c r="M277" i="5"/>
  <c r="P148" i="8"/>
  <c r="V140" i="8"/>
  <c r="D189" i="8" s="1"/>
  <c r="C223" i="1"/>
  <c r="DF192" i="1"/>
  <c r="DB192" i="1"/>
  <c r="CS18" i="1"/>
  <c r="T50" i="7" s="1"/>
  <c r="T49" i="7"/>
  <c r="AS172" i="1"/>
  <c r="DH172" i="1" s="1"/>
  <c r="AS167" i="1"/>
  <c r="AS175" i="1"/>
  <c r="DD166" i="1"/>
  <c r="N299" i="5"/>
  <c r="N302" i="5"/>
  <c r="AO45" i="1"/>
  <c r="AO46" i="1"/>
  <c r="AO47" i="1" s="1"/>
  <c r="L54" i="5"/>
  <c r="L51" i="5"/>
  <c r="N52" i="8"/>
  <c r="L56" i="5"/>
  <c r="L62" i="5"/>
  <c r="M51" i="5"/>
  <c r="Q84" i="5"/>
  <c r="R72" i="5"/>
  <c r="W26" i="9"/>
  <c r="W132" i="9"/>
  <c r="AH172" i="1"/>
  <c r="AH175" i="1"/>
  <c r="AH167" i="1"/>
  <c r="I55" i="9"/>
  <c r="I57" i="9" s="1"/>
  <c r="I58" i="9" s="1"/>
  <c r="H54" i="9"/>
  <c r="AS127" i="1"/>
  <c r="AS155" i="1"/>
  <c r="DD124" i="1"/>
  <c r="Q140" i="8"/>
  <c r="W335" i="5"/>
  <c r="V360" i="5"/>
  <c r="V336" i="5"/>
  <c r="S232" i="5"/>
  <c r="S236" i="5" s="1"/>
  <c r="AM294" i="1"/>
  <c r="AG289" i="1"/>
  <c r="Q108" i="5"/>
  <c r="Q50" i="5"/>
  <c r="Q109" i="5"/>
  <c r="Q112" i="5" s="1"/>
  <c r="R108" i="5"/>
  <c r="Y49" i="7"/>
  <c r="CX18" i="1"/>
  <c r="Y50" i="7" s="1"/>
  <c r="G183" i="7"/>
  <c r="R122" i="5"/>
  <c r="U152" i="8"/>
  <c r="R272" i="5"/>
  <c r="R256" i="5"/>
  <c r="R273" i="5"/>
  <c r="U22" i="8"/>
  <c r="R270" i="5"/>
  <c r="R288" i="5"/>
  <c r="U45" i="8"/>
  <c r="R264" i="5"/>
  <c r="K304" i="5"/>
  <c r="N29" i="8"/>
  <c r="N30" i="8" s="1"/>
  <c r="E44" i="6"/>
  <c r="Y50" i="1"/>
  <c r="Y59" i="1" s="1"/>
  <c r="Y60" i="1" s="1"/>
  <c r="Y61" i="1" s="1"/>
  <c r="Z65" i="7" s="1"/>
  <c r="AD65" i="7" s="1"/>
  <c r="CG124" i="1"/>
  <c r="G433" i="7" s="1"/>
  <c r="V155" i="1"/>
  <c r="V128" i="1"/>
  <c r="V167" i="1" s="1"/>
  <c r="G59" i="7" s="1"/>
  <c r="CK124" i="1"/>
  <c r="R134" i="8"/>
  <c r="O225" i="5"/>
  <c r="C724" i="7"/>
  <c r="D268" i="7"/>
  <c r="D258" i="7"/>
  <c r="E256" i="7"/>
  <c r="AR197" i="1"/>
  <c r="AR200" i="1" s="1"/>
  <c r="DC172" i="1"/>
  <c r="K819" i="7"/>
  <c r="K820" i="7"/>
  <c r="K821" i="7"/>
  <c r="M80" i="5"/>
  <c r="M96" i="5" s="1"/>
  <c r="M98" i="5" s="1"/>
  <c r="M99" i="5" s="1"/>
  <c r="M69" i="5"/>
  <c r="M77" i="5"/>
  <c r="M85" i="5" s="1"/>
  <c r="M145" i="5"/>
  <c r="N145" i="5"/>
  <c r="O166" i="5"/>
  <c r="O167" i="5" s="1"/>
  <c r="N168" i="9"/>
  <c r="M172" i="9"/>
  <c r="M170" i="9"/>
  <c r="M168" i="9"/>
  <c r="M169" i="9"/>
  <c r="U25" i="5"/>
  <c r="V139" i="8"/>
  <c r="D188" i="8" s="1"/>
  <c r="H188" i="8" s="1"/>
  <c r="S238" i="5"/>
  <c r="V42" i="8"/>
  <c r="C792" i="7"/>
  <c r="H741" i="7"/>
  <c r="Q15" i="9"/>
  <c r="Q8" i="9"/>
  <c r="H742" i="7" s="1"/>
  <c r="R8" i="9"/>
  <c r="I742" i="7" s="1"/>
  <c r="Q9" i="9"/>
  <c r="H743" i="7" s="1"/>
  <c r="Q38" i="9"/>
  <c r="H362" i="5"/>
  <c r="G131" i="5"/>
  <c r="H153" i="5"/>
  <c r="H331" i="5"/>
  <c r="L366" i="5"/>
  <c r="C204" i="7"/>
  <c r="S109" i="8"/>
  <c r="S114" i="8" s="1"/>
  <c r="P305" i="5"/>
  <c r="P282" i="5"/>
  <c r="H212" i="7" s="1"/>
  <c r="H170" i="9"/>
  <c r="H168" i="9"/>
  <c r="H169" i="9"/>
  <c r="H172" i="9"/>
  <c r="I168" i="9"/>
  <c r="P151" i="5"/>
  <c r="P150" i="5" s="1"/>
  <c r="P248" i="5" s="1"/>
  <c r="P261" i="5" s="1"/>
  <c r="H210" i="7"/>
  <c r="H407" i="7"/>
  <c r="T262" i="5"/>
  <c r="O69" i="5"/>
  <c r="O80" i="5"/>
  <c r="O96" i="5" s="1"/>
  <c r="O77" i="5"/>
  <c r="O85" i="5" s="1"/>
  <c r="X345" i="5"/>
  <c r="W348" i="5"/>
  <c r="CU37" i="1"/>
  <c r="G222" i="1"/>
  <c r="E222" i="1"/>
  <c r="G219" i="1"/>
  <c r="E219" i="1"/>
  <c r="AJ256" i="1"/>
  <c r="AN257" i="1" s="1"/>
  <c r="AJ245" i="1"/>
  <c r="AJ250" i="1"/>
  <c r="AJ255" i="1"/>
  <c r="AN251" i="1"/>
  <c r="AJ293" i="1"/>
  <c r="AN294" i="1" s="1"/>
  <c r="R145" i="9"/>
  <c r="AH37" i="1"/>
  <c r="CW22" i="1"/>
  <c r="X52" i="7" s="1"/>
  <c r="AH55" i="1"/>
  <c r="CS22" i="1"/>
  <c r="T52" i="7" s="1"/>
  <c r="CW166" i="1"/>
  <c r="N80" i="5"/>
  <c r="N96" i="5" s="1"/>
  <c r="N98" i="5" s="1"/>
  <c r="N99" i="5" s="1"/>
  <c r="N69" i="5"/>
  <c r="N77" i="5"/>
  <c r="N85" i="5" s="1"/>
  <c r="Q158" i="5"/>
  <c r="P164" i="5"/>
  <c r="P166" i="5" s="1"/>
  <c r="P167" i="5" s="1"/>
  <c r="AT55" i="1"/>
  <c r="DI55" i="1" s="1"/>
  <c r="AT37" i="1"/>
  <c r="DI37" i="1" s="1"/>
  <c r="DE22" i="1"/>
  <c r="U132" i="8"/>
  <c r="R239" i="5"/>
  <c r="O200" i="9"/>
  <c r="N197" i="9"/>
  <c r="N193" i="9"/>
  <c r="N201" i="9"/>
  <c r="O192" i="9"/>
  <c r="N194" i="9"/>
  <c r="D808" i="7"/>
  <c r="D795" i="7"/>
  <c r="N195" i="9"/>
  <c r="H156" i="9"/>
  <c r="H155" i="9"/>
  <c r="O112" i="5"/>
  <c r="AU155" i="1"/>
  <c r="DF124" i="1"/>
  <c r="AU127" i="1"/>
  <c r="Q44" i="9"/>
  <c r="P51" i="9"/>
  <c r="K154" i="9"/>
  <c r="K159" i="9"/>
  <c r="L159" i="9"/>
  <c r="U22" i="5"/>
  <c r="P196" i="5"/>
  <c r="O205" i="5"/>
  <c r="Y334" i="5"/>
  <c r="C504" i="7"/>
  <c r="AL127" i="1"/>
  <c r="CW127" i="1" s="1"/>
  <c r="AL155" i="1"/>
  <c r="CW124" i="1"/>
  <c r="M7" i="6"/>
  <c r="M27" i="6"/>
  <c r="G126" i="5"/>
  <c r="G128" i="5" s="1"/>
  <c r="G129" i="5" s="1"/>
  <c r="G246" i="5"/>
  <c r="M46" i="6"/>
  <c r="M51" i="6" s="1"/>
  <c r="O13" i="7"/>
  <c r="O10" i="7"/>
  <c r="M24" i="7" s="1"/>
  <c r="CT22" i="1"/>
  <c r="U52" i="7" s="1"/>
  <c r="AI55" i="1"/>
  <c r="AI37" i="1"/>
  <c r="CX22" i="1"/>
  <c r="Y52" i="7" s="1"/>
  <c r="AI49" i="1"/>
  <c r="AI40" i="1"/>
  <c r="AI41" i="1"/>
  <c r="CE120" i="1"/>
  <c r="T119" i="1"/>
  <c r="T168" i="1"/>
  <c r="E60" i="7" s="1"/>
  <c r="N51" i="8"/>
  <c r="N24" i="8"/>
  <c r="AE149" i="1"/>
  <c r="G819" i="7"/>
  <c r="G820" i="7"/>
  <c r="G821" i="7"/>
  <c r="T133" i="8"/>
  <c r="Q240" i="5"/>
  <c r="Q220" i="5"/>
  <c r="CO124" i="1"/>
  <c r="AD155" i="1"/>
  <c r="F513" i="7" s="1"/>
  <c r="AD123" i="1"/>
  <c r="K134" i="9"/>
  <c r="L134" i="9"/>
  <c r="CS124" i="1"/>
  <c r="CG166" i="1"/>
  <c r="CK166" i="1"/>
  <c r="V172" i="1"/>
  <c r="AU55" i="1"/>
  <c r="DJ55" i="1" s="1"/>
  <c r="AU37" i="1"/>
  <c r="DF22" i="1"/>
  <c r="L271" i="5"/>
  <c r="O150" i="8"/>
  <c r="E4" i="5"/>
  <c r="F8" i="5"/>
  <c r="G9" i="5" s="1"/>
  <c r="N54" i="9"/>
  <c r="N55" i="9" s="1"/>
  <c r="K268" i="5"/>
  <c r="K277" i="5"/>
  <c r="N148" i="8"/>
  <c r="AK41" i="1"/>
  <c r="AK40" i="1"/>
  <c r="AK49" i="1"/>
  <c r="CQ192" i="1"/>
  <c r="CU192" i="1"/>
  <c r="J46" i="6"/>
  <c r="J51" i="6" s="1"/>
  <c r="J25" i="6"/>
  <c r="AT172" i="1"/>
  <c r="DI172" i="1" s="1"/>
  <c r="DE166" i="1"/>
  <c r="AT175" i="1"/>
  <c r="AT167" i="1"/>
  <c r="L80" i="5"/>
  <c r="L96" i="5" s="1"/>
  <c r="L77" i="5"/>
  <c r="L85" i="5" s="1"/>
  <c r="L69" i="5"/>
  <c r="Q228" i="5"/>
  <c r="Q120" i="5"/>
  <c r="K242" i="5"/>
  <c r="N134" i="8"/>
  <c r="S71" i="5"/>
  <c r="S73" i="5"/>
  <c r="U73" i="5" s="1"/>
  <c r="S82" i="5"/>
  <c r="M239" i="5"/>
  <c r="P132" i="8"/>
  <c r="E183" i="7"/>
  <c r="E184" i="7" s="1"/>
  <c r="E185" i="7" s="1"/>
  <c r="P122" i="5"/>
  <c r="S45" i="8"/>
  <c r="S49" i="8" s="1"/>
  <c r="S51" i="8" s="1"/>
  <c r="P272" i="5"/>
  <c r="P288" i="5"/>
  <c r="P273" i="5"/>
  <c r="P268" i="5"/>
  <c r="P264" i="5"/>
  <c r="S22" i="8"/>
  <c r="S23" i="8" s="1"/>
  <c r="S24" i="8" s="1"/>
  <c r="P256" i="5"/>
  <c r="S152" i="8"/>
  <c r="AE45" i="1" l="1"/>
  <c r="O62" i="5"/>
  <c r="O54" i="5"/>
  <c r="O56" i="5"/>
  <c r="O51" i="5"/>
  <c r="N239" i="5"/>
  <c r="I13" i="7"/>
  <c r="J13" i="7"/>
  <c r="Q77" i="5"/>
  <c r="Q85" i="5" s="1"/>
  <c r="Q94" i="5" s="1"/>
  <c r="Q95" i="5" s="1"/>
  <c r="Q80" i="5"/>
  <c r="Q96" i="5" s="1"/>
  <c r="F6" i="12"/>
  <c r="AT42" i="1"/>
  <c r="S253" i="5"/>
  <c r="AD60" i="1"/>
  <c r="AD61" i="1" s="1"/>
  <c r="W317" i="5"/>
  <c r="V318" i="5"/>
  <c r="AD56" i="1"/>
  <c r="AD64" i="1" s="1"/>
  <c r="DE127" i="1"/>
  <c r="AT137" i="1"/>
  <c r="DI137" i="1" s="1"/>
  <c r="G158" i="12"/>
  <c r="G5" i="12"/>
  <c r="G43" i="12" s="1"/>
  <c r="AL173" i="1"/>
  <c r="F167" i="12"/>
  <c r="J1021" i="7" s="1"/>
  <c r="F160" i="12"/>
  <c r="F12" i="12" s="1"/>
  <c r="F214" i="12"/>
  <c r="P67" i="7"/>
  <c r="O57" i="1"/>
  <c r="M128" i="7" s="1"/>
  <c r="BZ56" i="1"/>
  <c r="C39" i="7" s="1"/>
  <c r="U109" i="5"/>
  <c r="V109" i="5" s="1"/>
  <c r="W109" i="5" s="1"/>
  <c r="X109" i="5" s="1"/>
  <c r="Y109" i="5" s="1"/>
  <c r="Z109" i="5" s="1"/>
  <c r="AA109" i="5" s="1"/>
  <c r="AB109" i="5" s="1"/>
  <c r="DC37" i="1"/>
  <c r="DA37" i="1"/>
  <c r="AR51" i="1"/>
  <c r="AR56" i="1" s="1"/>
  <c r="AR64" i="1" s="1"/>
  <c r="P20" i="9"/>
  <c r="P21" i="9" s="1"/>
  <c r="S40" i="9"/>
  <c r="F1013" i="7" s="1"/>
  <c r="G1021" i="7"/>
  <c r="G1023" i="7" s="1"/>
  <c r="R282" i="5"/>
  <c r="J212" i="7" s="1"/>
  <c r="I1027" i="7"/>
  <c r="P40" i="9"/>
  <c r="C239" i="9" s="1"/>
  <c r="D1021" i="7"/>
  <c r="D1023" i="7" s="1"/>
  <c r="Q40" i="9"/>
  <c r="C240" i="9" s="1"/>
  <c r="E1021" i="7"/>
  <c r="E1023" i="7" s="1"/>
  <c r="I386" i="7"/>
  <c r="J386" i="7" s="1"/>
  <c r="AV56" i="1"/>
  <c r="DK56" i="1" s="1"/>
  <c r="Q51" i="1"/>
  <c r="Q56" i="1" s="1"/>
  <c r="R64" i="7" s="1"/>
  <c r="P51" i="1"/>
  <c r="P56" i="1" s="1"/>
  <c r="DF37" i="1"/>
  <c r="DJ37" i="1"/>
  <c r="DF127" i="1"/>
  <c r="DJ127" i="1"/>
  <c r="DG55" i="1"/>
  <c r="DK55" i="1"/>
  <c r="M20" i="6"/>
  <c r="M25" i="6" s="1"/>
  <c r="T136" i="5"/>
  <c r="T134" i="5"/>
  <c r="T148" i="5"/>
  <c r="U133" i="5"/>
  <c r="T144" i="5"/>
  <c r="T145" i="5" s="1"/>
  <c r="DC55" i="1"/>
  <c r="DG37" i="1"/>
  <c r="DK37" i="1"/>
  <c r="H194" i="7"/>
  <c r="L4" i="7"/>
  <c r="H23" i="7"/>
  <c r="F258" i="7"/>
  <c r="G181" i="7"/>
  <c r="U12" i="9"/>
  <c r="M747" i="7" s="1"/>
  <c r="U39" i="9"/>
  <c r="M750" i="7" s="1"/>
  <c r="G794" i="7"/>
  <c r="G810" i="7" s="1"/>
  <c r="N277" i="5"/>
  <c r="Q296" i="5"/>
  <c r="Q302" i="5" s="1"/>
  <c r="T29" i="8" s="1"/>
  <c r="T30" i="8" s="1"/>
  <c r="H259" i="7"/>
  <c r="H271" i="7" s="1"/>
  <c r="N268" i="5"/>
  <c r="S281" i="5"/>
  <c r="J211" i="7"/>
  <c r="S252" i="5"/>
  <c r="L210" i="7" s="1"/>
  <c r="CZ127" i="1"/>
  <c r="S255" i="5"/>
  <c r="S122" i="5" s="1"/>
  <c r="J739" i="7"/>
  <c r="I51" i="1"/>
  <c r="I56" i="1" s="1"/>
  <c r="M57" i="1" s="1"/>
  <c r="J128" i="7" s="1"/>
  <c r="S112" i="5"/>
  <c r="S113" i="5" s="1"/>
  <c r="E795" i="7"/>
  <c r="AN42" i="1"/>
  <c r="AB51" i="1"/>
  <c r="AB56" i="1" s="1"/>
  <c r="AB64" i="1" s="1"/>
  <c r="H43" i="5"/>
  <c r="H214" i="5" s="1"/>
  <c r="G2" i="5"/>
  <c r="O172" i="9"/>
  <c r="O170" i="9"/>
  <c r="O171" i="9" s="1"/>
  <c r="I9" i="5"/>
  <c r="K48" i="6"/>
  <c r="H215" i="7" s="1"/>
  <c r="R236" i="5"/>
  <c r="F727" i="7" s="1"/>
  <c r="G256" i="7"/>
  <c r="E162" i="9"/>
  <c r="E167" i="9"/>
  <c r="E164" i="9"/>
  <c r="E165" i="9" s="1"/>
  <c r="H2" i="9"/>
  <c r="G122" i="9"/>
  <c r="G152" i="9" s="1"/>
  <c r="G182" i="9" s="1"/>
  <c r="G205" i="9" s="1"/>
  <c r="G42" i="9"/>
  <c r="G24" i="9"/>
  <c r="Q154" i="9"/>
  <c r="P156" i="9"/>
  <c r="I155" i="9"/>
  <c r="I156" i="9"/>
  <c r="J155" i="9"/>
  <c r="I495" i="7"/>
  <c r="H503" i="7"/>
  <c r="O14" i="8"/>
  <c r="O15" i="8" s="1"/>
  <c r="L321" i="5"/>
  <c r="F32" i="6"/>
  <c r="I35" i="6"/>
  <c r="I36" i="6"/>
  <c r="W88" i="5"/>
  <c r="V90" i="5"/>
  <c r="G171" i="9"/>
  <c r="R225" i="5"/>
  <c r="F725" i="7" s="1"/>
  <c r="G240" i="7"/>
  <c r="J210" i="7"/>
  <c r="AA59" i="1"/>
  <c r="AA60" i="1" s="1"/>
  <c r="AA61" i="1" s="1"/>
  <c r="AB65" i="7" s="1"/>
  <c r="AF65" i="7" s="1"/>
  <c r="Q4" i="5"/>
  <c r="P8" i="5"/>
  <c r="P9" i="5" s="1"/>
  <c r="S38" i="8"/>
  <c r="P136" i="9"/>
  <c r="P133" i="9"/>
  <c r="P134" i="9" s="1"/>
  <c r="K171" i="9"/>
  <c r="M108" i="9"/>
  <c r="M104" i="9"/>
  <c r="M112" i="9" s="1"/>
  <c r="T183" i="5"/>
  <c r="S184" i="5"/>
  <c r="S181" i="5"/>
  <c r="DD194" i="1"/>
  <c r="F724" i="7"/>
  <c r="R242" i="5"/>
  <c r="DD192" i="1"/>
  <c r="R268" i="5"/>
  <c r="G268" i="7"/>
  <c r="G966" i="7"/>
  <c r="G968" i="7" s="1"/>
  <c r="G969" i="7" s="1"/>
  <c r="O54" i="9"/>
  <c r="O55" i="9" s="1"/>
  <c r="E566" i="7"/>
  <c r="CN172" i="1"/>
  <c r="AP42" i="1"/>
  <c r="S279" i="5"/>
  <c r="S262" i="5"/>
  <c r="O93" i="9"/>
  <c r="N100" i="9"/>
  <c r="H190" i="9"/>
  <c r="I189" i="9"/>
  <c r="P43" i="5"/>
  <c r="P214" i="5" s="1"/>
  <c r="H209" i="7" s="1"/>
  <c r="Q2" i="5"/>
  <c r="J29" i="6"/>
  <c r="J30" i="6" s="1"/>
  <c r="J42" i="6" s="1"/>
  <c r="J41" i="6" s="1"/>
  <c r="J15" i="6"/>
  <c r="J120" i="9"/>
  <c r="L387" i="7"/>
  <c r="O137" i="9"/>
  <c r="O139" i="9"/>
  <c r="E496" i="7" s="1"/>
  <c r="E500" i="7" s="1"/>
  <c r="F214" i="7"/>
  <c r="J3" i="6"/>
  <c r="L115" i="9"/>
  <c r="L116" i="9"/>
  <c r="L117" i="9"/>
  <c r="G173" i="9"/>
  <c r="G174" i="9"/>
  <c r="G175" i="9" s="1"/>
  <c r="J173" i="9"/>
  <c r="J174" i="9"/>
  <c r="J175" i="9" s="1"/>
  <c r="DD127" i="1"/>
  <c r="DH127" i="1"/>
  <c r="AS51" i="1"/>
  <c r="AS56" i="1" s="1"/>
  <c r="AW57" i="1" s="1"/>
  <c r="CM192" i="1"/>
  <c r="P17" i="9"/>
  <c r="G755" i="7" s="1"/>
  <c r="CF183" i="1"/>
  <c r="I438" i="7" s="1"/>
  <c r="DD37" i="1"/>
  <c r="DH37" i="1"/>
  <c r="CJ183" i="1"/>
  <c r="N438" i="7" s="1"/>
  <c r="R305" i="5"/>
  <c r="R320" i="5" s="1"/>
  <c r="G347" i="7" s="1"/>
  <c r="AS42" i="1"/>
  <c r="T51" i="1"/>
  <c r="T56" i="1" s="1"/>
  <c r="S51" i="1"/>
  <c r="S56" i="1" s="1"/>
  <c r="S57" i="1" s="1"/>
  <c r="Q128" i="7" s="1"/>
  <c r="U109" i="8"/>
  <c r="U114" i="8" s="1"/>
  <c r="G447" i="7"/>
  <c r="L25" i="6"/>
  <c r="F446" i="7"/>
  <c r="F447" i="7" s="1"/>
  <c r="DE37" i="1"/>
  <c r="O64" i="7"/>
  <c r="AL42" i="1"/>
  <c r="AG42" i="1"/>
  <c r="R277" i="5"/>
  <c r="L280" i="5"/>
  <c r="X51" i="1"/>
  <c r="X56" i="1" s="1"/>
  <c r="X59" i="1"/>
  <c r="X60" i="1" s="1"/>
  <c r="X61" i="1" s="1"/>
  <c r="Y65" i="7" s="1"/>
  <c r="AC65" i="7" s="1"/>
  <c r="O142" i="8"/>
  <c r="L236" i="5"/>
  <c r="AG46" i="1"/>
  <c r="AG47" i="1" s="1"/>
  <c r="AG45" i="1"/>
  <c r="N18" i="7"/>
  <c r="CY55" i="1"/>
  <c r="CJ120" i="1"/>
  <c r="CQ122" i="1"/>
  <c r="CU123" i="1"/>
  <c r="AF154" i="1"/>
  <c r="CU122" i="1"/>
  <c r="CQ123" i="1"/>
  <c r="C317" i="7"/>
  <c r="J26" i="7"/>
  <c r="DA172" i="1"/>
  <c r="I457" i="7"/>
  <c r="H447" i="7"/>
  <c r="AP50" i="1"/>
  <c r="AP51" i="1" s="1"/>
  <c r="AP56" i="1" s="1"/>
  <c r="AP64" i="1" s="1"/>
  <c r="AU137" i="1"/>
  <c r="E317" i="7"/>
  <c r="CV37" i="1"/>
  <c r="L50" i="1"/>
  <c r="M64" i="1"/>
  <c r="N64" i="7"/>
  <c r="AR42" i="1"/>
  <c r="N246" i="5"/>
  <c r="N267" i="5" s="1"/>
  <c r="N274" i="5" s="1"/>
  <c r="N126" i="5"/>
  <c r="N128" i="5" s="1"/>
  <c r="N129" i="5" s="1"/>
  <c r="N123" i="5"/>
  <c r="S173" i="1"/>
  <c r="S168" i="1"/>
  <c r="D60" i="7" s="1"/>
  <c r="CH120" i="1"/>
  <c r="S119" i="1"/>
  <c r="G184" i="7"/>
  <c r="G185" i="7" s="1"/>
  <c r="E264" i="7"/>
  <c r="E265" i="7" s="1"/>
  <c r="AU42" i="1"/>
  <c r="P112" i="5"/>
  <c r="P113" i="5" s="1"/>
  <c r="U119" i="1"/>
  <c r="AM42" i="1"/>
  <c r="AT51" i="1"/>
  <c r="AT56" i="1" s="1"/>
  <c r="AL46" i="1"/>
  <c r="AL47" i="1" s="1"/>
  <c r="AL45" i="1"/>
  <c r="Q252" i="5"/>
  <c r="Q253" i="5"/>
  <c r="F259" i="7"/>
  <c r="K20" i="6"/>
  <c r="K25" i="6" s="1"/>
  <c r="Q281" i="5"/>
  <c r="H1027" i="7" s="1"/>
  <c r="Q255" i="5"/>
  <c r="AC173" i="1"/>
  <c r="AC197" i="1"/>
  <c r="AC200" i="1" s="1"/>
  <c r="C261" i="7"/>
  <c r="D284" i="7"/>
  <c r="D285" i="7" s="1"/>
  <c r="C272" i="7"/>
  <c r="O255" i="5"/>
  <c r="D259" i="7"/>
  <c r="I20" i="6"/>
  <c r="I25" i="6" s="1"/>
  <c r="I42" i="6" s="1"/>
  <c r="I41" i="6" s="1"/>
  <c r="O281" i="5"/>
  <c r="F1027" i="7" s="1"/>
  <c r="O253" i="5"/>
  <c r="O252" i="5"/>
  <c r="DC127" i="1"/>
  <c r="CY127" i="1"/>
  <c r="L820" i="7"/>
  <c r="L821" i="7"/>
  <c r="L822" i="7" s="1"/>
  <c r="L819" i="7"/>
  <c r="AI42" i="1"/>
  <c r="U23" i="8"/>
  <c r="U24" i="8" s="1"/>
  <c r="G258" i="7"/>
  <c r="J27" i="7"/>
  <c r="AJ42" i="1"/>
  <c r="E525" i="7"/>
  <c r="O59" i="7"/>
  <c r="G457" i="7"/>
  <c r="H435" i="7"/>
  <c r="R296" i="5"/>
  <c r="R302" i="5" s="1"/>
  <c r="L48" i="6"/>
  <c r="I215" i="7" s="1"/>
  <c r="CO166" i="1"/>
  <c r="AD167" i="1"/>
  <c r="G522" i="7"/>
  <c r="G524" i="7" s="1"/>
  <c r="AD172" i="1"/>
  <c r="CS172" i="1" s="1"/>
  <c r="AM46" i="1"/>
  <c r="AM47" i="1" s="1"/>
  <c r="AM45" i="1"/>
  <c r="Q119" i="1"/>
  <c r="Q168" i="1"/>
  <c r="Q173" i="1"/>
  <c r="AK42" i="1"/>
  <c r="G822" i="7"/>
  <c r="M18" i="7"/>
  <c r="J25" i="7"/>
  <c r="CF120" i="1"/>
  <c r="X131" i="1"/>
  <c r="X147" i="1" s="1"/>
  <c r="X148" i="1" s="1"/>
  <c r="E530" i="7"/>
  <c r="CM128" i="1"/>
  <c r="X183" i="1"/>
  <c r="N221" i="5"/>
  <c r="CI128" i="1"/>
  <c r="X120" i="1"/>
  <c r="X167" i="1"/>
  <c r="I59" i="7" s="1"/>
  <c r="X129" i="1"/>
  <c r="AK67" i="1"/>
  <c r="AL66" i="1"/>
  <c r="N120" i="5"/>
  <c r="N228" i="5"/>
  <c r="DD55" i="1"/>
  <c r="T52" i="8"/>
  <c r="R56" i="5"/>
  <c r="R62" i="5"/>
  <c r="R64" i="5" s="1"/>
  <c r="R54" i="5"/>
  <c r="U50" i="1"/>
  <c r="AE50" i="1"/>
  <c r="AH42" i="1"/>
  <c r="F435" i="7"/>
  <c r="E457" i="7"/>
  <c r="CX127" i="1"/>
  <c r="DB127" i="1"/>
  <c r="AB64" i="7"/>
  <c r="AA64" i="1"/>
  <c r="DA127" i="1"/>
  <c r="J28" i="7"/>
  <c r="J59" i="1"/>
  <c r="J60" i="1" s="1"/>
  <c r="J61" i="1" s="1"/>
  <c r="J65" i="7" s="1"/>
  <c r="J51" i="1"/>
  <c r="J56" i="1" s="1"/>
  <c r="AJ46" i="1"/>
  <c r="AJ47" i="1" s="1"/>
  <c r="AJ45" i="1"/>
  <c r="G24" i="7"/>
  <c r="G25" i="7"/>
  <c r="J18" i="7"/>
  <c r="G28" i="7"/>
  <c r="I18" i="7"/>
  <c r="G27" i="7"/>
  <c r="G26" i="7"/>
  <c r="Q122" i="8"/>
  <c r="N320" i="5"/>
  <c r="C347" i="7" s="1"/>
  <c r="N306" i="5"/>
  <c r="N367" i="5" s="1"/>
  <c r="Q31" i="8"/>
  <c r="AA186" i="1"/>
  <c r="AA154" i="1"/>
  <c r="CL123" i="1"/>
  <c r="AN50" i="1"/>
  <c r="AN51" i="1" s="1"/>
  <c r="AN56" i="1" s="1"/>
  <c r="W50" i="1"/>
  <c r="K822" i="7"/>
  <c r="P69" i="5"/>
  <c r="P80" i="5"/>
  <c r="P96" i="5" s="1"/>
  <c r="P77" i="5"/>
  <c r="P85" i="5" s="1"/>
  <c r="P72" i="5"/>
  <c r="P84" i="5" s="1"/>
  <c r="R80" i="5"/>
  <c r="R96" i="5" s="1"/>
  <c r="R69" i="5"/>
  <c r="R77" i="5"/>
  <c r="R85" i="5" s="1"/>
  <c r="R94" i="5" s="1"/>
  <c r="R95" i="5" s="1"/>
  <c r="L258" i="5"/>
  <c r="P29" i="8"/>
  <c r="P30" i="8" s="1"/>
  <c r="M304" i="5"/>
  <c r="G44" i="6"/>
  <c r="R14" i="8"/>
  <c r="R15" i="8" s="1"/>
  <c r="I32" i="6"/>
  <c r="M101" i="5"/>
  <c r="AQ64" i="1"/>
  <c r="D4" i="5"/>
  <c r="D8" i="5" s="1"/>
  <c r="E8" i="5"/>
  <c r="V22" i="5"/>
  <c r="N101" i="5"/>
  <c r="N100" i="5"/>
  <c r="G727" i="7"/>
  <c r="S365" i="5"/>
  <c r="V25" i="5"/>
  <c r="Q29" i="8"/>
  <c r="Q30" i="8" s="1"/>
  <c r="N304" i="5"/>
  <c r="C966" i="7"/>
  <c r="C968" i="7" s="1"/>
  <c r="H44" i="6"/>
  <c r="S29" i="8"/>
  <c r="S30" i="8" s="1"/>
  <c r="J44" i="6"/>
  <c r="P304" i="5"/>
  <c r="E966" i="7"/>
  <c r="E968" i="7" s="1"/>
  <c r="P126" i="5"/>
  <c r="P246" i="5"/>
  <c r="CT37" i="1"/>
  <c r="CX37" i="1"/>
  <c r="O202" i="5"/>
  <c r="O203" i="5" s="1"/>
  <c r="O206" i="5"/>
  <c r="R44" i="9"/>
  <c r="Q51" i="9"/>
  <c r="P200" i="9"/>
  <c r="P192" i="9" s="1"/>
  <c r="O193" i="9"/>
  <c r="DE55" i="1"/>
  <c r="Y51" i="1"/>
  <c r="Y56" i="1" s="1"/>
  <c r="O94" i="5"/>
  <c r="O95" i="5" s="1"/>
  <c r="O86" i="5"/>
  <c r="O91" i="5" s="1"/>
  <c r="O92" i="5" s="1"/>
  <c r="M94" i="5"/>
  <c r="M95" i="5" s="1"/>
  <c r="M86" i="5"/>
  <c r="M91" i="5" s="1"/>
  <c r="M92" i="5" s="1"/>
  <c r="H211" i="7"/>
  <c r="H406" i="7"/>
  <c r="S76" i="5"/>
  <c r="U71" i="5"/>
  <c r="V71" i="5" s="1"/>
  <c r="AT197" i="1"/>
  <c r="AT200" i="1" s="1"/>
  <c r="DE172" i="1"/>
  <c r="F9" i="5"/>
  <c r="DF55" i="1"/>
  <c r="CS122" i="1"/>
  <c r="AD154" i="1"/>
  <c r="CS123" i="1"/>
  <c r="CO123" i="1"/>
  <c r="G267" i="5"/>
  <c r="G274" i="5" s="1"/>
  <c r="Z334" i="5"/>
  <c r="K156" i="9"/>
  <c r="K155" i="9"/>
  <c r="L155" i="9"/>
  <c r="P263" i="5"/>
  <c r="P278" i="5"/>
  <c r="P269" i="5"/>
  <c r="S149" i="8"/>
  <c r="P395" i="5"/>
  <c r="P396" i="5" s="1"/>
  <c r="P397" i="5" s="1"/>
  <c r="H171" i="9"/>
  <c r="I171" i="9"/>
  <c r="G362" i="5"/>
  <c r="F131" i="5"/>
  <c r="G331" i="5"/>
  <c r="G153" i="5"/>
  <c r="C796" i="7"/>
  <c r="C811" i="7" s="1"/>
  <c r="C793" i="7"/>
  <c r="C809" i="7"/>
  <c r="N171" i="9"/>
  <c r="M171" i="9"/>
  <c r="E32" i="6"/>
  <c r="K321" i="5"/>
  <c r="N14" i="8"/>
  <c r="N15" i="8" s="1"/>
  <c r="R126" i="5"/>
  <c r="R128" i="5" s="1"/>
  <c r="R129" i="5" s="1"/>
  <c r="R123" i="5"/>
  <c r="R246" i="5"/>
  <c r="AH197" i="1"/>
  <c r="AH173" i="1"/>
  <c r="L64" i="5"/>
  <c r="M65" i="5" s="1"/>
  <c r="L98" i="5"/>
  <c r="L99" i="5" s="1"/>
  <c r="L101" i="5" s="1"/>
  <c r="O64" i="5"/>
  <c r="O63" i="5"/>
  <c r="O98" i="5"/>
  <c r="O99" i="5" s="1"/>
  <c r="AO50" i="1"/>
  <c r="AO51" i="1" s="1"/>
  <c r="AO56" i="1" s="1"/>
  <c r="D724" i="7"/>
  <c r="P225" i="5"/>
  <c r="S134" i="8"/>
  <c r="C134" i="8" s="1"/>
  <c r="AI50" i="1"/>
  <c r="AI59" i="1" s="1"/>
  <c r="AI60" i="1" s="1"/>
  <c r="AI61" i="1" s="1"/>
  <c r="O129" i="1"/>
  <c r="CD129" i="1" s="1"/>
  <c r="D35" i="7" s="1"/>
  <c r="O120" i="1"/>
  <c r="O183" i="1"/>
  <c r="CD183" i="1" s="1"/>
  <c r="O167" i="1"/>
  <c r="CD128" i="1"/>
  <c r="P279" i="5"/>
  <c r="P270" i="5"/>
  <c r="P262" i="5"/>
  <c r="P253" i="5"/>
  <c r="S220" i="5"/>
  <c r="V132" i="8"/>
  <c r="G224" i="1"/>
  <c r="E224" i="1"/>
  <c r="N150" i="8"/>
  <c r="K271" i="5"/>
  <c r="K280" i="5"/>
  <c r="U23" i="5"/>
  <c r="V21" i="5"/>
  <c r="R59" i="1"/>
  <c r="R60" i="1" s="1"/>
  <c r="R61" i="1" s="1"/>
  <c r="S65" i="7" s="1"/>
  <c r="R51" i="1"/>
  <c r="R56" i="1" s="1"/>
  <c r="W67" i="5"/>
  <c r="V78" i="5"/>
  <c r="V74" i="5"/>
  <c r="V73" i="5"/>
  <c r="Z315" i="5"/>
  <c r="AC13" i="8" s="1"/>
  <c r="V59" i="1"/>
  <c r="V60" i="1" s="1"/>
  <c r="V61" i="1" s="1"/>
  <c r="W65" i="7" s="1"/>
  <c r="W73" i="7" s="1"/>
  <c r="V51" i="1"/>
  <c r="V56" i="1" s="1"/>
  <c r="X184" i="9"/>
  <c r="W11" i="9"/>
  <c r="W186" i="9"/>
  <c r="S64" i="5"/>
  <c r="R173" i="1"/>
  <c r="R119" i="1"/>
  <c r="CC120" i="1"/>
  <c r="R168" i="1"/>
  <c r="C60" i="7" s="1"/>
  <c r="D791" i="7"/>
  <c r="I739" i="7"/>
  <c r="V194" i="5"/>
  <c r="C791" i="7"/>
  <c r="H739" i="7"/>
  <c r="AK256" i="1"/>
  <c r="AK251" i="1"/>
  <c r="AK293" i="1"/>
  <c r="AK250" i="1"/>
  <c r="AO251" i="1"/>
  <c r="AK245" i="1"/>
  <c r="Q147" i="9"/>
  <c r="AK255" i="1"/>
  <c r="AC59" i="1"/>
  <c r="AC60" i="1" s="1"/>
  <c r="AC61" i="1" s="1"/>
  <c r="AC51" i="1"/>
  <c r="AC56" i="1" s="1"/>
  <c r="CW172" i="1"/>
  <c r="E569" i="7"/>
  <c r="D567" i="7"/>
  <c r="G264" i="7"/>
  <c r="G273" i="7"/>
  <c r="E809" i="7"/>
  <c r="E793" i="7"/>
  <c r="E796" i="7"/>
  <c r="E811" i="7" s="1"/>
  <c r="T139" i="8"/>
  <c r="T42" i="8"/>
  <c r="Q238" i="5"/>
  <c r="Q232" i="5"/>
  <c r="CK172" i="1"/>
  <c r="P52" i="9"/>
  <c r="CS55" i="1"/>
  <c r="CW55" i="1"/>
  <c r="H174" i="9"/>
  <c r="H173" i="9"/>
  <c r="I173" i="9"/>
  <c r="M174" i="9"/>
  <c r="N173" i="9"/>
  <c r="M173" i="9"/>
  <c r="R113" i="5"/>
  <c r="AS197" i="1"/>
  <c r="AS200" i="1" s="1"/>
  <c r="DD172" i="1"/>
  <c r="G223" i="1"/>
  <c r="E223" i="1"/>
  <c r="N27" i="6"/>
  <c r="F66" i="1"/>
  <c r="G66" i="7"/>
  <c r="N65" i="5"/>
  <c r="X132" i="9"/>
  <c r="X26" i="9"/>
  <c r="C795" i="7"/>
  <c r="C808" i="7"/>
  <c r="AM250" i="1"/>
  <c r="AL250" i="1"/>
  <c r="AL251" i="1"/>
  <c r="AL255" i="1"/>
  <c r="AL256" i="1"/>
  <c r="AL254" i="1"/>
  <c r="AL293" i="1"/>
  <c r="AM254" i="1"/>
  <c r="AL245" i="1"/>
  <c r="AP251" i="1"/>
  <c r="H248" i="5"/>
  <c r="H269" i="5" s="1"/>
  <c r="G150" i="5"/>
  <c r="G248" i="5" s="1"/>
  <c r="G269" i="5" s="1"/>
  <c r="S20" i="9"/>
  <c r="S16" i="9"/>
  <c r="J754" i="7" s="1"/>
  <c r="J753" i="7"/>
  <c r="S17" i="9"/>
  <c r="J755" i="7" s="1"/>
  <c r="AE157" i="1"/>
  <c r="G512" i="7" s="1"/>
  <c r="P119" i="5"/>
  <c r="O203" i="9"/>
  <c r="Q164" i="5"/>
  <c r="R158" i="5"/>
  <c r="Q17" i="9"/>
  <c r="H755" i="7" s="1"/>
  <c r="H753" i="7"/>
  <c r="Q16" i="9"/>
  <c r="H754" i="7" s="1"/>
  <c r="Q20" i="9"/>
  <c r="R16" i="9"/>
  <c r="I754" i="7" s="1"/>
  <c r="CG128" i="1"/>
  <c r="C530" i="7"/>
  <c r="V120" i="1"/>
  <c r="V173" i="1" s="1"/>
  <c r="V129" i="1"/>
  <c r="CK128" i="1"/>
  <c r="J457" i="7" s="1"/>
  <c r="V183" i="1"/>
  <c r="M221" i="5"/>
  <c r="M256" i="5" s="1"/>
  <c r="Q51" i="5"/>
  <c r="Q54" i="5"/>
  <c r="S52" i="8"/>
  <c r="Q56" i="5"/>
  <c r="Q62" i="5"/>
  <c r="R51" i="5"/>
  <c r="X335" i="5"/>
  <c r="W360" i="5"/>
  <c r="W336" i="5"/>
  <c r="H55" i="9"/>
  <c r="H57" i="9" s="1"/>
  <c r="H58" i="9" s="1"/>
  <c r="G54" i="9"/>
  <c r="S72" i="5"/>
  <c r="T72" i="5" s="1"/>
  <c r="R84" i="5"/>
  <c r="Q51" i="8"/>
  <c r="Q24" i="8"/>
  <c r="AK50" i="1"/>
  <c r="AK59" i="1" s="1"/>
  <c r="AK60" i="1" s="1"/>
  <c r="AK61" i="1" s="1"/>
  <c r="X16" i="8"/>
  <c r="W11" i="8"/>
  <c r="W116" i="8"/>
  <c r="M43" i="6"/>
  <c r="AU50" i="1"/>
  <c r="AU51" i="1" s="1"/>
  <c r="AU56" i="1" s="1"/>
  <c r="V148" i="8"/>
  <c r="H190" i="8" s="1"/>
  <c r="H39" i="6"/>
  <c r="H211" i="5"/>
  <c r="I247" i="5"/>
  <c r="U149" i="8"/>
  <c r="G191" i="8" s="1"/>
  <c r="R395" i="5"/>
  <c r="R396" i="5" s="1"/>
  <c r="R397" i="5" s="1"/>
  <c r="R263" i="5"/>
  <c r="R278" i="5"/>
  <c r="R269" i="5"/>
  <c r="V29" i="8"/>
  <c r="V30" i="8" s="1"/>
  <c r="S304" i="5"/>
  <c r="T321" i="5" s="1"/>
  <c r="Z139" i="5"/>
  <c r="Y131" i="9"/>
  <c r="Y142" i="5"/>
  <c r="Y143" i="5" s="1"/>
  <c r="S270" i="5"/>
  <c r="L174" i="9"/>
  <c r="L175" i="9" s="1"/>
  <c r="L173" i="9"/>
  <c r="P45" i="8"/>
  <c r="M273" i="5"/>
  <c r="M264" i="5"/>
  <c r="M272" i="5"/>
  <c r="M122" i="5"/>
  <c r="M288" i="5"/>
  <c r="P152" i="8"/>
  <c r="P22" i="8"/>
  <c r="P23" i="8" s="1"/>
  <c r="P24" i="8" s="1"/>
  <c r="U208" i="9"/>
  <c r="N56" i="9"/>
  <c r="N58" i="9"/>
  <c r="O57" i="9"/>
  <c r="L94" i="5"/>
  <c r="L95" i="5" s="1"/>
  <c r="L86" i="5"/>
  <c r="L91" i="5" s="1"/>
  <c r="L92" i="5" s="1"/>
  <c r="Q225" i="5"/>
  <c r="T134" i="8"/>
  <c r="E724" i="7"/>
  <c r="CT55" i="1"/>
  <c r="CX55" i="1"/>
  <c r="M26" i="7"/>
  <c r="M27" i="7"/>
  <c r="O18" i="7"/>
  <c r="M25" i="7"/>
  <c r="M28" i="7"/>
  <c r="P205" i="5"/>
  <c r="Q196" i="5"/>
  <c r="O113" i="5"/>
  <c r="AF59" i="1"/>
  <c r="AF60" i="1" s="1"/>
  <c r="AF61" i="1" s="1"/>
  <c r="AF51" i="1"/>
  <c r="AF56" i="1" s="1"/>
  <c r="N86" i="5"/>
  <c r="N91" i="5" s="1"/>
  <c r="N92" i="5" s="1"/>
  <c r="N94" i="5"/>
  <c r="CS37" i="1"/>
  <c r="CW37" i="1"/>
  <c r="X348" i="5"/>
  <c r="Y345" i="5"/>
  <c r="P320" i="5"/>
  <c r="E347" i="7" s="1"/>
  <c r="S31" i="8"/>
  <c r="S122" i="8"/>
  <c r="P306" i="5"/>
  <c r="P367" i="5" s="1"/>
  <c r="C725" i="7"/>
  <c r="U49" i="8"/>
  <c r="U51" i="8" s="1"/>
  <c r="R261" i="5"/>
  <c r="V142" i="8"/>
  <c r="D191" i="8" s="1"/>
  <c r="M268" i="5"/>
  <c r="AH50" i="1"/>
  <c r="AH59" i="1" s="1"/>
  <c r="AH60" i="1" s="1"/>
  <c r="AH61" i="1" s="1"/>
  <c r="G254" i="7"/>
  <c r="G267" i="7" s="1"/>
  <c r="H241" i="7"/>
  <c r="V329" i="5"/>
  <c r="U231" i="9" s="1"/>
  <c r="X3" i="8"/>
  <c r="X4" i="8" s="1"/>
  <c r="O8" i="6"/>
  <c r="O7" i="6" s="1"/>
  <c r="S10" i="6"/>
  <c r="S131" i="5"/>
  <c r="R362" i="5"/>
  <c r="R391" i="5" s="1"/>
  <c r="R153" i="5"/>
  <c r="R331" i="5"/>
  <c r="K257" i="5"/>
  <c r="J268" i="5"/>
  <c r="J250" i="5"/>
  <c r="J271" i="5" s="1"/>
  <c r="Z59" i="1"/>
  <c r="Z60" i="1" s="1"/>
  <c r="Z61" i="1" s="1"/>
  <c r="AA65" i="7" s="1"/>
  <c r="AE65" i="7" s="1"/>
  <c r="Z51" i="1"/>
  <c r="Z56" i="1" s="1"/>
  <c r="M63" i="5"/>
  <c r="H794" i="7"/>
  <c r="V12" i="9"/>
  <c r="N747" i="7" s="1"/>
  <c r="V39" i="9"/>
  <c r="N750" i="7" s="1"/>
  <c r="V32" i="9"/>
  <c r="N746" i="7"/>
  <c r="M822" i="7"/>
  <c r="I822" i="7"/>
  <c r="O115" i="5"/>
  <c r="M282" i="5"/>
  <c r="E212" i="7" s="1"/>
  <c r="P109" i="8"/>
  <c r="P114" i="8" s="1"/>
  <c r="M305" i="5"/>
  <c r="G38" i="6"/>
  <c r="G39" i="6" s="1"/>
  <c r="CP123" i="1"/>
  <c r="CT123" i="1"/>
  <c r="CP122" i="1"/>
  <c r="CT122" i="1"/>
  <c r="Y141" i="9"/>
  <c r="P54" i="5"/>
  <c r="P56" i="5"/>
  <c r="R52" i="8"/>
  <c r="P51" i="5"/>
  <c r="P62" i="5"/>
  <c r="V143" i="9"/>
  <c r="U173" i="1"/>
  <c r="CJ172" i="1"/>
  <c r="O228" i="5"/>
  <c r="O120" i="5"/>
  <c r="O16" i="6" l="1"/>
  <c r="O37" i="6" s="1"/>
  <c r="O43" i="6"/>
  <c r="Q86" i="5"/>
  <c r="Q91" i="5" s="1"/>
  <c r="Q92" i="5" s="1"/>
  <c r="V45" i="8"/>
  <c r="V46" i="8" s="1"/>
  <c r="V47" i="8" s="1"/>
  <c r="P195" i="9"/>
  <c r="F13" i="12"/>
  <c r="S151" i="5"/>
  <c r="S150" i="5" s="1"/>
  <c r="S248" i="5" s="1"/>
  <c r="DE137" i="1"/>
  <c r="AT160" i="1"/>
  <c r="X317" i="5"/>
  <c r="W318" i="5"/>
  <c r="V309" i="5"/>
  <c r="D1013" i="7"/>
  <c r="AV64" i="1"/>
  <c r="DK64" i="1" s="1"/>
  <c r="AZ57" i="1"/>
  <c r="I64" i="7"/>
  <c r="N67" i="7" s="1"/>
  <c r="F23" i="12"/>
  <c r="G160" i="12"/>
  <c r="G12" i="12" s="1"/>
  <c r="G167" i="12"/>
  <c r="G173" i="12" s="1"/>
  <c r="F8" i="12"/>
  <c r="S256" i="5"/>
  <c r="L211" i="7" s="1"/>
  <c r="V22" i="8"/>
  <c r="V23" i="8" s="1"/>
  <c r="V24" i="8" s="1"/>
  <c r="F168" i="12"/>
  <c r="S264" i="5"/>
  <c r="C1120" i="2" s="1"/>
  <c r="S268" i="5"/>
  <c r="C1013" i="7"/>
  <c r="O44" i="6"/>
  <c r="Q57" i="1"/>
  <c r="O128" i="7" s="1"/>
  <c r="Q304" i="5"/>
  <c r="K32" i="6" s="1"/>
  <c r="S305" i="5"/>
  <c r="S320" i="5" s="1"/>
  <c r="J1027" i="7"/>
  <c r="U136" i="5"/>
  <c r="U137" i="5" s="1"/>
  <c r="U218" i="5" s="1"/>
  <c r="H261" i="7"/>
  <c r="H273" i="7" s="1"/>
  <c r="S282" i="5"/>
  <c r="L212" i="7" s="1"/>
  <c r="E275" i="7"/>
  <c r="R67" i="7"/>
  <c r="CB56" i="1"/>
  <c r="E39" i="7" s="1"/>
  <c r="Q64" i="1"/>
  <c r="CB64" i="1" s="1"/>
  <c r="Q64" i="7"/>
  <c r="P64" i="1"/>
  <c r="DG56" i="1"/>
  <c r="U147" i="5"/>
  <c r="U230" i="5" s="1"/>
  <c r="V133" i="5"/>
  <c r="U144" i="5"/>
  <c r="U145" i="5" s="1"/>
  <c r="AU160" i="1"/>
  <c r="DJ137" i="1"/>
  <c r="AV57" i="1"/>
  <c r="AY57" i="1"/>
  <c r="DJ56" i="1"/>
  <c r="DC56" i="1"/>
  <c r="M4" i="7"/>
  <c r="I23" i="7"/>
  <c r="K44" i="6"/>
  <c r="R365" i="5"/>
  <c r="C132" i="8"/>
  <c r="V109" i="8"/>
  <c r="V114" i="8" s="1"/>
  <c r="E501" i="7"/>
  <c r="E507" i="7"/>
  <c r="O173" i="9"/>
  <c r="O174" i="9"/>
  <c r="O175" i="9" s="1"/>
  <c r="V152" i="8"/>
  <c r="S272" i="5"/>
  <c r="S288" i="5"/>
  <c r="F2" i="5"/>
  <c r="G43" i="5"/>
  <c r="G214" i="5" s="1"/>
  <c r="R244" i="5"/>
  <c r="E1045" i="7" s="1"/>
  <c r="R226" i="5"/>
  <c r="F726" i="7" s="1"/>
  <c r="S273" i="5"/>
  <c r="E9" i="5"/>
  <c r="AX57" i="1"/>
  <c r="DI56" i="1"/>
  <c r="C131" i="8"/>
  <c r="G214" i="7"/>
  <c r="K3" i="6"/>
  <c r="J36" i="6"/>
  <c r="J35" i="6"/>
  <c r="J38" i="6"/>
  <c r="J39" i="6" s="1"/>
  <c r="P93" i="9"/>
  <c r="O100" i="9"/>
  <c r="O104" i="9" s="1"/>
  <c r="O112" i="9" s="1"/>
  <c r="P139" i="9"/>
  <c r="P137" i="9"/>
  <c r="P180" i="9"/>
  <c r="E505" i="7"/>
  <c r="J189" i="9"/>
  <c r="I190" i="9"/>
  <c r="M116" i="9"/>
  <c r="M117" i="9"/>
  <c r="M115" i="9"/>
  <c r="K175" i="9"/>
  <c r="Q156" i="9"/>
  <c r="R154" i="9"/>
  <c r="H42" i="9"/>
  <c r="H24" i="9"/>
  <c r="I2" i="9"/>
  <c r="H122" i="9"/>
  <c r="H152" i="9" s="1"/>
  <c r="H182" i="9" s="1"/>
  <c r="H205" i="9" s="1"/>
  <c r="E504" i="7"/>
  <c r="E506" i="7"/>
  <c r="C133" i="8"/>
  <c r="P54" i="9"/>
  <c r="P55" i="9" s="1"/>
  <c r="U31" i="8"/>
  <c r="O140" i="9"/>
  <c r="O149" i="9"/>
  <c r="L386" i="7"/>
  <c r="L384" i="7" s="1"/>
  <c r="K29" i="6"/>
  <c r="K30" i="6" s="1"/>
  <c r="K42" i="6" s="1"/>
  <c r="K41" i="6" s="1"/>
  <c r="K15" i="6"/>
  <c r="K38" i="6" s="1"/>
  <c r="K39" i="6" s="1"/>
  <c r="Q8" i="5"/>
  <c r="Q9" i="5" s="1"/>
  <c r="T38" i="8"/>
  <c r="R4" i="5"/>
  <c r="J495" i="7"/>
  <c r="I503" i="7"/>
  <c r="E508" i="7"/>
  <c r="R2" i="5"/>
  <c r="Q43" i="5"/>
  <c r="Q214" i="5" s="1"/>
  <c r="I209" i="7" s="1"/>
  <c r="N104" i="9"/>
  <c r="N112" i="9" s="1"/>
  <c r="N108" i="9"/>
  <c r="U183" i="5"/>
  <c r="T184" i="5"/>
  <c r="T181" i="5"/>
  <c r="X88" i="5"/>
  <c r="W90" i="5"/>
  <c r="E169" i="9"/>
  <c r="E172" i="9"/>
  <c r="E168" i="9"/>
  <c r="E170" i="9"/>
  <c r="F168" i="9"/>
  <c r="T57" i="1"/>
  <c r="R128" i="7" s="1"/>
  <c r="CE56" i="1"/>
  <c r="T64" i="1"/>
  <c r="U64" i="7"/>
  <c r="CI56" i="1"/>
  <c r="I55" i="7" s="1"/>
  <c r="CD56" i="1"/>
  <c r="T64" i="7"/>
  <c r="T67" i="7" s="1"/>
  <c r="U122" i="8"/>
  <c r="AS64" i="1"/>
  <c r="DH64" i="1" s="1"/>
  <c r="DH56" i="1"/>
  <c r="S64" i="1"/>
  <c r="CD64" i="1" s="1"/>
  <c r="DF137" i="1"/>
  <c r="Q44" i="8"/>
  <c r="Y64" i="7"/>
  <c r="AC64" i="7" s="1"/>
  <c r="AG50" i="1"/>
  <c r="AG51" i="1" s="1"/>
  <c r="AG56" i="1" s="1"/>
  <c r="AG64" i="1" s="1"/>
  <c r="L365" i="5"/>
  <c r="L368" i="5" s="1"/>
  <c r="L369" i="5" s="1"/>
  <c r="L283" i="5"/>
  <c r="L284" i="5" s="1"/>
  <c r="AB57" i="1"/>
  <c r="G724" i="7"/>
  <c r="X64" i="1"/>
  <c r="L59" i="1"/>
  <c r="L60" i="1" s="1"/>
  <c r="L61" i="1" s="1"/>
  <c r="M65" i="7" s="1"/>
  <c r="L51" i="1"/>
  <c r="L56" i="1" s="1"/>
  <c r="CM56" i="1"/>
  <c r="N55" i="7" s="1"/>
  <c r="Q147" i="8"/>
  <c r="X57" i="1"/>
  <c r="L244" i="5"/>
  <c r="F271" i="7"/>
  <c r="F261" i="7"/>
  <c r="P123" i="5"/>
  <c r="AJ50" i="1"/>
  <c r="AJ59" i="1" s="1"/>
  <c r="AJ60" i="1" s="1"/>
  <c r="AJ61" i="1" s="1"/>
  <c r="P115" i="5"/>
  <c r="Q115" i="5" s="1"/>
  <c r="R115" i="5" s="1"/>
  <c r="S115" i="5" s="1"/>
  <c r="R304" i="5"/>
  <c r="S321" i="5" s="1"/>
  <c r="U29" i="8"/>
  <c r="U30" i="8" s="1"/>
  <c r="L44" i="6"/>
  <c r="O151" i="5"/>
  <c r="O150" i="5" s="1"/>
  <c r="O248" i="5" s="1"/>
  <c r="O261" i="5" s="1"/>
  <c r="BZ165" i="1" s="1"/>
  <c r="G210" i="7"/>
  <c r="G407" i="7"/>
  <c r="D261" i="7"/>
  <c r="D271" i="7"/>
  <c r="E283" i="7"/>
  <c r="E285" i="7" s="1"/>
  <c r="C264" i="7"/>
  <c r="C275" i="7" s="1"/>
  <c r="C273" i="7"/>
  <c r="T109" i="8"/>
  <c r="T114" i="8" s="1"/>
  <c r="Q305" i="5"/>
  <c r="Q282" i="5"/>
  <c r="I212" i="7" s="1"/>
  <c r="I210" i="7"/>
  <c r="I407" i="7"/>
  <c r="Q151" i="5"/>
  <c r="Q150" i="5" s="1"/>
  <c r="Q248" i="5" s="1"/>
  <c r="O305" i="5"/>
  <c r="R109" i="8"/>
  <c r="R114" i="8" s="1"/>
  <c r="O282" i="5"/>
  <c r="G212" i="7" s="1"/>
  <c r="I38" i="6"/>
  <c r="I39" i="6" s="1"/>
  <c r="F525" i="7"/>
  <c r="P59" i="7"/>
  <c r="T22" i="8"/>
  <c r="T23" i="8" s="1"/>
  <c r="T24" i="8" s="1"/>
  <c r="T45" i="8"/>
  <c r="Q288" i="5"/>
  <c r="T152" i="8"/>
  <c r="Q268" i="5"/>
  <c r="Q273" i="5"/>
  <c r="Q264" i="5"/>
  <c r="Q256" i="5"/>
  <c r="Q270" i="5"/>
  <c r="Q122" i="5"/>
  <c r="Q272" i="5"/>
  <c r="F183" i="7"/>
  <c r="F184" i="7" s="1"/>
  <c r="F185" i="7" s="1"/>
  <c r="Q113" i="5"/>
  <c r="R98" i="5"/>
  <c r="R99" i="5" s="1"/>
  <c r="R101" i="5" s="1"/>
  <c r="CO172" i="1"/>
  <c r="AD197" i="1"/>
  <c r="AD200" i="1" s="1"/>
  <c r="AD173" i="1"/>
  <c r="R152" i="8"/>
  <c r="O264" i="5"/>
  <c r="O273" i="5"/>
  <c r="O288" i="5"/>
  <c r="O272" i="5"/>
  <c r="R45" i="8"/>
  <c r="R22" i="8"/>
  <c r="R23" i="8" s="1"/>
  <c r="R24" i="8" s="1"/>
  <c r="O122" i="5"/>
  <c r="D183" i="7"/>
  <c r="D184" i="7" s="1"/>
  <c r="D185" i="7" s="1"/>
  <c r="O268" i="5"/>
  <c r="O270" i="5"/>
  <c r="O256" i="5"/>
  <c r="AL50" i="1"/>
  <c r="AL51" i="1" s="1"/>
  <c r="AL56" i="1" s="1"/>
  <c r="DA56" i="1" s="1"/>
  <c r="AB55" i="7" s="1"/>
  <c r="AN64" i="1"/>
  <c r="DC64" i="1" s="1"/>
  <c r="AE59" i="1"/>
  <c r="AE60" i="1" s="1"/>
  <c r="AE61" i="1" s="1"/>
  <c r="AE51" i="1"/>
  <c r="AE56" i="1" s="1"/>
  <c r="AM66" i="1"/>
  <c r="AL67" i="1"/>
  <c r="X168" i="1"/>
  <c r="CM120" i="1"/>
  <c r="X173" i="1"/>
  <c r="CI120" i="1"/>
  <c r="AM50" i="1"/>
  <c r="AM51" i="1" s="1"/>
  <c r="AM56" i="1" s="1"/>
  <c r="R86" i="5"/>
  <c r="R91" i="5" s="1"/>
  <c r="R92" i="5" s="1"/>
  <c r="AF64" i="7"/>
  <c r="H457" i="7"/>
  <c r="I435" i="7"/>
  <c r="E548" i="7"/>
  <c r="E551" i="7" s="1"/>
  <c r="N530" i="7"/>
  <c r="J64" i="7"/>
  <c r="O67" i="7" s="1"/>
  <c r="N57" i="1"/>
  <c r="L128" i="7" s="1"/>
  <c r="U59" i="1"/>
  <c r="U60" i="1" s="1"/>
  <c r="U61" i="1" s="1"/>
  <c r="V65" i="7" s="1"/>
  <c r="U51" i="1"/>
  <c r="U56" i="1" s="1"/>
  <c r="CJ56" i="1" s="1"/>
  <c r="Q42" i="8"/>
  <c r="N238" i="5"/>
  <c r="Q139" i="8"/>
  <c r="N232" i="5"/>
  <c r="Q142" i="8" s="1"/>
  <c r="CI129" i="1"/>
  <c r="I35" i="7" s="1"/>
  <c r="CM129" i="1"/>
  <c r="O222" i="5"/>
  <c r="O224" i="5"/>
  <c r="D179" i="7"/>
  <c r="F190" i="7" s="1"/>
  <c r="D169" i="7"/>
  <c r="F189" i="7" s="1"/>
  <c r="C178" i="7"/>
  <c r="C179" i="7" s="1"/>
  <c r="E190" i="7" s="1"/>
  <c r="N243" i="5"/>
  <c r="D321" i="7" s="1"/>
  <c r="Q137" i="8"/>
  <c r="N252" i="5"/>
  <c r="N220" i="5"/>
  <c r="C255" i="7"/>
  <c r="D323" i="7"/>
  <c r="N253" i="5"/>
  <c r="H35" i="6"/>
  <c r="N287" i="5"/>
  <c r="Q21" i="8" s="1"/>
  <c r="Q18" i="8"/>
  <c r="Q41" i="8" s="1"/>
  <c r="N256" i="5"/>
  <c r="S63" i="5"/>
  <c r="AR57" i="1"/>
  <c r="N276" i="5"/>
  <c r="W59" i="1"/>
  <c r="W60" i="1" s="1"/>
  <c r="W61" i="1" s="1"/>
  <c r="X65" i="7" s="1"/>
  <c r="W51" i="1"/>
  <c r="W56" i="1" s="1"/>
  <c r="P38" i="7"/>
  <c r="CM183" i="1"/>
  <c r="CI183" i="1"/>
  <c r="M438" i="7" s="1"/>
  <c r="F438" i="7"/>
  <c r="F440" i="7" s="1"/>
  <c r="M103" i="5"/>
  <c r="S242" i="5"/>
  <c r="R103" i="5"/>
  <c r="P86" i="5"/>
  <c r="P91" i="5" s="1"/>
  <c r="P92" i="5" s="1"/>
  <c r="P94" i="5"/>
  <c r="P95" i="5" s="1"/>
  <c r="M321" i="5"/>
  <c r="G32" i="6"/>
  <c r="P14" i="8"/>
  <c r="P15" i="8" s="1"/>
  <c r="AU64" i="1"/>
  <c r="DF56" i="1"/>
  <c r="AU57" i="1"/>
  <c r="O232" i="5"/>
  <c r="O236" i="5" s="1"/>
  <c r="R139" i="8"/>
  <c r="R42" i="8"/>
  <c r="C578" i="7"/>
  <c r="C577" i="7" s="1"/>
  <c r="O238" i="5"/>
  <c r="P122" i="8"/>
  <c r="M320" i="5"/>
  <c r="P31" i="8"/>
  <c r="M306" i="5"/>
  <c r="M367" i="5" s="1"/>
  <c r="V208" i="9"/>
  <c r="V249" i="5"/>
  <c r="V262" i="5" s="1"/>
  <c r="AA139" i="5"/>
  <c r="Z131" i="9"/>
  <c r="Z142" i="5"/>
  <c r="Z143" i="5" s="1"/>
  <c r="AL257" i="1"/>
  <c r="AP257" i="1"/>
  <c r="E567" i="7"/>
  <c r="D568" i="7"/>
  <c r="D725" i="7"/>
  <c r="P226" i="5"/>
  <c r="D726" i="7" s="1"/>
  <c r="S69" i="5"/>
  <c r="S77" i="5"/>
  <c r="S80" i="5"/>
  <c r="S96" i="5" s="1"/>
  <c r="S98" i="5" s="1"/>
  <c r="S99" i="5" s="1"/>
  <c r="H810" i="7"/>
  <c r="Z57" i="1"/>
  <c r="AA64" i="7"/>
  <c r="CK56" i="1"/>
  <c r="Z64" i="1"/>
  <c r="AD57" i="1"/>
  <c r="CO56" i="1"/>
  <c r="P55" i="7" s="1"/>
  <c r="K258" i="5"/>
  <c r="K366" i="5"/>
  <c r="K368" i="5" s="1"/>
  <c r="K369" i="5" s="1"/>
  <c r="K283" i="5"/>
  <c r="K284" i="5" s="1"/>
  <c r="S153" i="5"/>
  <c r="S362" i="5"/>
  <c r="S391" i="5" s="1"/>
  <c r="S331" i="5"/>
  <c r="T131" i="5"/>
  <c r="O27" i="6"/>
  <c r="AF57" i="1"/>
  <c r="AF64" i="1"/>
  <c r="CQ64" i="1" s="1"/>
  <c r="CQ56" i="1"/>
  <c r="R55" i="7" s="1"/>
  <c r="R196" i="5"/>
  <c r="Q205" i="5"/>
  <c r="F728" i="7"/>
  <c r="E406" i="7"/>
  <c r="Y132" i="9"/>
  <c r="Y26" i="9"/>
  <c r="Q9" i="6"/>
  <c r="R9" i="6" s="1"/>
  <c r="S9" i="6" s="1"/>
  <c r="T9" i="6" s="1"/>
  <c r="U9" i="6" s="1"/>
  <c r="V9" i="6" s="1"/>
  <c r="F54" i="9"/>
  <c r="G55" i="9"/>
  <c r="G57" i="9" s="1"/>
  <c r="G58" i="9" s="1"/>
  <c r="Y335" i="5"/>
  <c r="X336" i="5"/>
  <c r="X360" i="5"/>
  <c r="D438" i="7"/>
  <c r="D440" i="7" s="1"/>
  <c r="CG183" i="1"/>
  <c r="J438" i="7" s="1"/>
  <c r="CK183" i="1"/>
  <c r="C548" i="7"/>
  <c r="C534" i="7"/>
  <c r="L534" i="7" s="1"/>
  <c r="L530" i="7"/>
  <c r="Q21" i="9"/>
  <c r="S158" i="5"/>
  <c r="R164" i="5"/>
  <c r="G265" i="7"/>
  <c r="G275" i="7"/>
  <c r="AC64" i="1"/>
  <c r="AC57" i="1"/>
  <c r="CN56" i="1"/>
  <c r="O55" i="7" s="1"/>
  <c r="W194" i="5"/>
  <c r="W39" i="9"/>
  <c r="W32" i="9"/>
  <c r="W12" i="9"/>
  <c r="AA315" i="5"/>
  <c r="AD13" i="8" s="1"/>
  <c r="O103" i="5"/>
  <c r="O65" i="5"/>
  <c r="F362" i="5"/>
  <c r="E131" i="5"/>
  <c r="F331" i="5"/>
  <c r="F153" i="5"/>
  <c r="AA334" i="5"/>
  <c r="Z64" i="7"/>
  <c r="Y64" i="1"/>
  <c r="S44" i="9"/>
  <c r="T44" i="9" s="1"/>
  <c r="U44" i="9" s="1"/>
  <c r="V44" i="9" s="1"/>
  <c r="W44" i="9" s="1"/>
  <c r="X44" i="9" s="1"/>
  <c r="Y44" i="9" s="1"/>
  <c r="Z44" i="9" s="1"/>
  <c r="AA44" i="9" s="1"/>
  <c r="R51" i="9"/>
  <c r="S147" i="8"/>
  <c r="P267" i="5"/>
  <c r="P274" i="5" s="1"/>
  <c r="S44" i="8"/>
  <c r="P250" i="5"/>
  <c r="P257" i="5" s="1"/>
  <c r="M102" i="5"/>
  <c r="W143" i="9"/>
  <c r="T10" i="6"/>
  <c r="Y348" i="5"/>
  <c r="Z345" i="5"/>
  <c r="P206" i="5"/>
  <c r="P202" i="5"/>
  <c r="P203" i="5" s="1"/>
  <c r="M123" i="5"/>
  <c r="C202" i="7" s="1"/>
  <c r="M126" i="5"/>
  <c r="M246" i="5"/>
  <c r="I268" i="5"/>
  <c r="I250" i="5"/>
  <c r="I271" i="5" s="1"/>
  <c r="G435" i="7"/>
  <c r="F457" i="7"/>
  <c r="P228" i="5"/>
  <c r="P128" i="5"/>
  <c r="P129" i="5" s="1"/>
  <c r="P120" i="5"/>
  <c r="T142" i="8"/>
  <c r="Q242" i="5"/>
  <c r="AK257" i="1"/>
  <c r="AO257" i="1"/>
  <c r="Y184" i="9"/>
  <c r="X11" i="9"/>
  <c r="X186" i="9"/>
  <c r="W21" i="5"/>
  <c r="V23" i="5"/>
  <c r="O119" i="1"/>
  <c r="O168" i="1"/>
  <c r="O173" i="1"/>
  <c r="CD120" i="1"/>
  <c r="AO64" i="1"/>
  <c r="DD56" i="1"/>
  <c r="AS57" i="1"/>
  <c r="Q200" i="9"/>
  <c r="Q192" i="9" s="1"/>
  <c r="Q22" i="9" s="1"/>
  <c r="P193" i="9"/>
  <c r="P194" i="9"/>
  <c r="S14" i="8"/>
  <c r="S15" i="8" s="1"/>
  <c r="P321" i="5"/>
  <c r="E346" i="7" s="1"/>
  <c r="J32" i="6"/>
  <c r="W25" i="5"/>
  <c r="W22" i="5"/>
  <c r="Y3" i="8"/>
  <c r="Y4" i="8" s="1"/>
  <c r="W329" i="5"/>
  <c r="W309" i="5" s="1"/>
  <c r="AA16" i="8" s="1"/>
  <c r="P8" i="6"/>
  <c r="P7" i="6" s="1"/>
  <c r="N95" i="5"/>
  <c r="N103" i="5"/>
  <c r="Q226" i="5"/>
  <c r="E726" i="7" s="1"/>
  <c r="E725" i="7"/>
  <c r="P57" i="9"/>
  <c r="O56" i="9"/>
  <c r="O58" i="9"/>
  <c r="S126" i="5"/>
  <c r="S128" i="5" s="1"/>
  <c r="S129" i="5" s="1"/>
  <c r="S123" i="5"/>
  <c r="S246" i="5"/>
  <c r="AH51" i="1"/>
  <c r="AH56" i="1" s="1"/>
  <c r="H247" i="5"/>
  <c r="G211" i="5"/>
  <c r="G247" i="5" s="1"/>
  <c r="Q64" i="5"/>
  <c r="Q63" i="5"/>
  <c r="Q98" i="5"/>
  <c r="Q99" i="5" s="1"/>
  <c r="R63" i="5"/>
  <c r="CG129" i="1"/>
  <c r="G35" i="7" s="1"/>
  <c r="CK129" i="1"/>
  <c r="L35" i="7" s="1"/>
  <c r="S21" i="9"/>
  <c r="E66" i="1"/>
  <c r="F66" i="7"/>
  <c r="M175" i="9"/>
  <c r="N175" i="9"/>
  <c r="H175" i="9"/>
  <c r="I175" i="9"/>
  <c r="Q236" i="5"/>
  <c r="V64" i="1"/>
  <c r="CG56" i="1"/>
  <c r="V57" i="1"/>
  <c r="T128" i="7" s="1"/>
  <c r="W64" i="7"/>
  <c r="D435" i="7"/>
  <c r="C457" i="7"/>
  <c r="O100" i="5"/>
  <c r="O101" i="5"/>
  <c r="O102" i="5" s="1"/>
  <c r="L103" i="5"/>
  <c r="AT64" i="1"/>
  <c r="DE56" i="1"/>
  <c r="AT57" i="1"/>
  <c r="P202" i="9"/>
  <c r="P203" i="9"/>
  <c r="Q14" i="8"/>
  <c r="Q15" i="8" s="1"/>
  <c r="H32" i="6"/>
  <c r="N321" i="5"/>
  <c r="C346" i="7" s="1"/>
  <c r="P64" i="5"/>
  <c r="P98" i="5"/>
  <c r="P99" i="5" s="1"/>
  <c r="P63" i="5"/>
  <c r="Z141" i="9"/>
  <c r="X116" i="8"/>
  <c r="Y16" i="8"/>
  <c r="H254" i="7"/>
  <c r="H267" i="7" s="1"/>
  <c r="I241" i="7"/>
  <c r="I254" i="7" s="1"/>
  <c r="I267" i="7" s="1"/>
  <c r="AK51" i="1"/>
  <c r="AK56" i="1" s="1"/>
  <c r="P46" i="8"/>
  <c r="P47" i="8" s="1"/>
  <c r="Q46" i="8"/>
  <c r="Q47" i="8" s="1"/>
  <c r="P49" i="8"/>
  <c r="P51" i="8" s="1"/>
  <c r="M32" i="6"/>
  <c r="V14" i="8"/>
  <c r="V15" i="8" s="1"/>
  <c r="S84" i="5"/>
  <c r="M222" i="5"/>
  <c r="D189" i="7" s="1"/>
  <c r="D190" i="7" s="1"/>
  <c r="C323" i="7"/>
  <c r="P137" i="8"/>
  <c r="M287" i="5"/>
  <c r="P21" i="8" s="1"/>
  <c r="M243" i="5"/>
  <c r="D204" i="7"/>
  <c r="C169" i="7"/>
  <c r="E189" i="7" s="1"/>
  <c r="P18" i="8"/>
  <c r="P41" i="8" s="1"/>
  <c r="C243" i="7"/>
  <c r="M220" i="5"/>
  <c r="M224" i="5"/>
  <c r="G35" i="6"/>
  <c r="N222" i="5"/>
  <c r="M253" i="5"/>
  <c r="N224" i="5"/>
  <c r="M252" i="5"/>
  <c r="E211" i="7" s="1"/>
  <c r="CG120" i="1"/>
  <c r="CK120" i="1"/>
  <c r="V119" i="1"/>
  <c r="V168" i="1"/>
  <c r="G60" i="7" s="1"/>
  <c r="AL294" i="1"/>
  <c r="AP294" i="1"/>
  <c r="N43" i="6"/>
  <c r="Q166" i="5"/>
  <c r="Q167" i="5" s="1"/>
  <c r="Q143" i="9"/>
  <c r="R148" i="9"/>
  <c r="AK294" i="1"/>
  <c r="AO294" i="1"/>
  <c r="S65" i="5"/>
  <c r="X67" i="5"/>
  <c r="W73" i="5"/>
  <c r="W71" i="5"/>
  <c r="W78" i="5"/>
  <c r="W74" i="5"/>
  <c r="S64" i="7"/>
  <c r="S67" i="7" s="1"/>
  <c r="CC56" i="1"/>
  <c r="R64" i="1"/>
  <c r="CC64" i="1" s="1"/>
  <c r="R57" i="1"/>
  <c r="P128" i="7" s="1"/>
  <c r="V134" i="8"/>
  <c r="S225" i="5"/>
  <c r="P22" i="9"/>
  <c r="U147" i="8"/>
  <c r="G189" i="8" s="1"/>
  <c r="U44" i="8"/>
  <c r="U48" i="8" s="1"/>
  <c r="U50" i="8" s="1"/>
  <c r="R267" i="5"/>
  <c r="R274" i="5" s="1"/>
  <c r="R276" i="5"/>
  <c r="R250" i="5"/>
  <c r="AI51" i="1"/>
  <c r="AI56" i="1" s="1"/>
  <c r="Q52" i="9"/>
  <c r="Q54" i="9"/>
  <c r="Q55" i="9" s="1"/>
  <c r="N102" i="5"/>
  <c r="M100" i="5"/>
  <c r="V49" i="8" l="1"/>
  <c r="V51" i="8" s="1"/>
  <c r="M39" i="7"/>
  <c r="DG64" i="1"/>
  <c r="P43" i="6"/>
  <c r="G23" i="12"/>
  <c r="G13" i="12"/>
  <c r="G24" i="12" s="1"/>
  <c r="F24" i="12"/>
  <c r="F33" i="12" s="1"/>
  <c r="K1021" i="7"/>
  <c r="T14" i="8"/>
  <c r="T15" i="8" s="1"/>
  <c r="Q321" i="5"/>
  <c r="F346" i="7" s="1"/>
  <c r="Y317" i="5"/>
  <c r="X318" i="5"/>
  <c r="G168" i="12"/>
  <c r="F25" i="12"/>
  <c r="G26" i="12" s="1"/>
  <c r="F67" i="12"/>
  <c r="CE64" i="1"/>
  <c r="F32" i="12"/>
  <c r="X11" i="8"/>
  <c r="V122" i="8"/>
  <c r="V31" i="8"/>
  <c r="U240" i="5"/>
  <c r="H264" i="7"/>
  <c r="H265" i="7" s="1"/>
  <c r="U67" i="7"/>
  <c r="W133" i="5"/>
  <c r="V144" i="5"/>
  <c r="V145" i="5" s="1"/>
  <c r="V136" i="5"/>
  <c r="V147" i="5"/>
  <c r="V230" i="5" s="1"/>
  <c r="S250" i="5"/>
  <c r="S257" i="5" s="1"/>
  <c r="DF64" i="1"/>
  <c r="DJ64" i="1"/>
  <c r="U394" i="5"/>
  <c r="CI64" i="1"/>
  <c r="J23" i="7"/>
  <c r="N4" i="7"/>
  <c r="Q48" i="8"/>
  <c r="Q50" i="8" s="1"/>
  <c r="DE64" i="1"/>
  <c r="DI64" i="1"/>
  <c r="F43" i="5"/>
  <c r="E2" i="5"/>
  <c r="Y88" i="5"/>
  <c r="X90" i="5"/>
  <c r="N117" i="9"/>
  <c r="N115" i="9"/>
  <c r="O115" i="9" s="1"/>
  <c r="N116" i="9"/>
  <c r="R8" i="5"/>
  <c r="U38" i="8"/>
  <c r="S4" i="5"/>
  <c r="I122" i="9"/>
  <c r="I152" i="9" s="1"/>
  <c r="I182" i="9" s="1"/>
  <c r="I205" i="9" s="1"/>
  <c r="J2" i="9"/>
  <c r="I42" i="9"/>
  <c r="I24" i="9"/>
  <c r="S154" i="9"/>
  <c r="R156" i="9"/>
  <c r="F496" i="7"/>
  <c r="P140" i="9"/>
  <c r="E173" i="9"/>
  <c r="F173" i="9"/>
  <c r="E174" i="9"/>
  <c r="L29" i="6"/>
  <c r="L30" i="6" s="1"/>
  <c r="L42" i="6" s="1"/>
  <c r="L41" i="6" s="1"/>
  <c r="L15" i="6"/>
  <c r="O109" i="9"/>
  <c r="O158" i="9" s="1"/>
  <c r="J190" i="9"/>
  <c r="K189" i="9"/>
  <c r="Q93" i="9"/>
  <c r="P100" i="9"/>
  <c r="P104" i="9" s="1"/>
  <c r="P112" i="9" s="1"/>
  <c r="AJ51" i="1"/>
  <c r="AJ56" i="1" s="1"/>
  <c r="CU56" i="1" s="1"/>
  <c r="V55" i="7" s="1"/>
  <c r="E171" i="9"/>
  <c r="F171" i="9"/>
  <c r="V183" i="5"/>
  <c r="U184" i="5"/>
  <c r="U181" i="5"/>
  <c r="S2" i="5"/>
  <c r="R43" i="5"/>
  <c r="R214" i="5" s="1"/>
  <c r="J209" i="7" s="1"/>
  <c r="J503" i="7"/>
  <c r="K495" i="7"/>
  <c r="K35" i="6"/>
  <c r="K36" i="6"/>
  <c r="O4" i="9"/>
  <c r="P150" i="9"/>
  <c r="O150" i="9"/>
  <c r="O147" i="9"/>
  <c r="O169" i="9"/>
  <c r="P143" i="9"/>
  <c r="Q144" i="9" s="1"/>
  <c r="L3" i="6"/>
  <c r="H214" i="7"/>
  <c r="Y67" i="7"/>
  <c r="D55" i="7"/>
  <c r="G39" i="7"/>
  <c r="H39" i="7"/>
  <c r="E55" i="7"/>
  <c r="AG59" i="1"/>
  <c r="AG60" i="1" s="1"/>
  <c r="AG61" i="1" s="1"/>
  <c r="Y57" i="1"/>
  <c r="CM64" i="1"/>
  <c r="CW56" i="1"/>
  <c r="X55" i="7" s="1"/>
  <c r="M64" i="7"/>
  <c r="Q67" i="7" s="1"/>
  <c r="P57" i="1"/>
  <c r="N128" i="7" s="1"/>
  <c r="CA56" i="1"/>
  <c r="D39" i="7" s="1"/>
  <c r="CR56" i="1"/>
  <c r="S55" i="7" s="1"/>
  <c r="N104" i="5"/>
  <c r="CR64" i="1"/>
  <c r="AG57" i="1"/>
  <c r="Q246" i="5"/>
  <c r="Q123" i="5"/>
  <c r="Q126" i="5"/>
  <c r="Q128" i="5" s="1"/>
  <c r="Q129" i="5" s="1"/>
  <c r="T46" i="8"/>
  <c r="T47" i="8" s="1"/>
  <c r="U46" i="8"/>
  <c r="U47" i="8" s="1"/>
  <c r="T49" i="8"/>
  <c r="T51" i="8" s="1"/>
  <c r="Q278" i="5"/>
  <c r="Q269" i="5"/>
  <c r="Q261" i="5"/>
  <c r="T149" i="8"/>
  <c r="Q263" i="5"/>
  <c r="Q395" i="5"/>
  <c r="Q396" i="5" s="1"/>
  <c r="Q397" i="5" s="1"/>
  <c r="T31" i="8"/>
  <c r="T122" i="8"/>
  <c r="Q320" i="5"/>
  <c r="F347" i="7" s="1"/>
  <c r="F273" i="7"/>
  <c r="F264" i="7"/>
  <c r="M104" i="5"/>
  <c r="AP57" i="1"/>
  <c r="AL64" i="1"/>
  <c r="DA64" i="1" s="1"/>
  <c r="G406" i="7"/>
  <c r="G211" i="7"/>
  <c r="O126" i="5"/>
  <c r="O128" i="5" s="1"/>
  <c r="O129" i="5" s="1"/>
  <c r="O246" i="5"/>
  <c r="O123" i="5"/>
  <c r="O395" i="5"/>
  <c r="O396" i="5" s="1"/>
  <c r="O397" i="5" s="1"/>
  <c r="O269" i="5"/>
  <c r="O263" i="5"/>
  <c r="R149" i="8"/>
  <c r="O278" i="5"/>
  <c r="R49" i="8"/>
  <c r="R51" i="8" s="1"/>
  <c r="R46" i="8"/>
  <c r="R47" i="8" s="1"/>
  <c r="S46" i="8"/>
  <c r="S47" i="8" s="1"/>
  <c r="O320" i="5"/>
  <c r="D347" i="7" s="1"/>
  <c r="R31" i="8"/>
  <c r="O306" i="5"/>
  <c r="O367" i="5" s="1"/>
  <c r="R122" i="8"/>
  <c r="AL57" i="1"/>
  <c r="N236" i="5"/>
  <c r="N365" i="5" s="1"/>
  <c r="R321" i="5"/>
  <c r="G346" i="7" s="1"/>
  <c r="L32" i="6"/>
  <c r="U14" i="8"/>
  <c r="U15" i="8" s="1"/>
  <c r="I211" i="7"/>
  <c r="I406" i="7"/>
  <c r="D273" i="7"/>
  <c r="D264" i="7"/>
  <c r="AL59" i="1"/>
  <c r="AL60" i="1" s="1"/>
  <c r="AL61" i="1" s="1"/>
  <c r="CH56" i="1"/>
  <c r="W57" i="1"/>
  <c r="W64" i="1"/>
  <c r="X64" i="7"/>
  <c r="CL56" i="1"/>
  <c r="AA57" i="1"/>
  <c r="N242" i="5"/>
  <c r="N225" i="5"/>
  <c r="Q134" i="8"/>
  <c r="C185" i="7"/>
  <c r="C181" i="7"/>
  <c r="CF56" i="1"/>
  <c r="U64" i="1"/>
  <c r="CF64" i="1" s="1"/>
  <c r="V64" i="7"/>
  <c r="V67" i="7" s="1"/>
  <c r="U57" i="1"/>
  <c r="S128" i="7" s="1"/>
  <c r="AM64" i="1"/>
  <c r="DB64" i="1" s="1"/>
  <c r="DB56" i="1"/>
  <c r="AQ57" i="1"/>
  <c r="D445" i="7"/>
  <c r="I60" i="7"/>
  <c r="F406" i="7"/>
  <c r="F211" i="7"/>
  <c r="N151" i="5"/>
  <c r="N150" i="5" s="1"/>
  <c r="N248" i="5" s="1"/>
  <c r="F210" i="7"/>
  <c r="G445" i="7"/>
  <c r="F407" i="7"/>
  <c r="AN66" i="1"/>
  <c r="AM67" i="1"/>
  <c r="AM59" i="1"/>
  <c r="AM60" i="1" s="1"/>
  <c r="AM61" i="1" s="1"/>
  <c r="CG64" i="1"/>
  <c r="D256" i="7"/>
  <c r="C265" i="7"/>
  <c r="C256" i="7"/>
  <c r="C258" i="7"/>
  <c r="C268" i="7"/>
  <c r="AE64" i="1"/>
  <c r="CP64" i="1" s="1"/>
  <c r="CP56" i="1"/>
  <c r="Q55" i="7" s="1"/>
  <c r="AE57" i="1"/>
  <c r="O104" i="5"/>
  <c r="P103" i="5"/>
  <c r="P104" i="5" s="1"/>
  <c r="P65" i="5"/>
  <c r="W67" i="7"/>
  <c r="W72" i="7"/>
  <c r="Z16" i="8"/>
  <c r="Y116" i="8"/>
  <c r="Y186" i="9"/>
  <c r="Y11" i="9"/>
  <c r="Z184" i="9"/>
  <c r="R52" i="9"/>
  <c r="S51" i="9"/>
  <c r="R54" i="9"/>
  <c r="R55" i="9" s="1"/>
  <c r="O365" i="5"/>
  <c r="O244" i="5"/>
  <c r="C727" i="7"/>
  <c r="D200" i="7"/>
  <c r="C321" i="7"/>
  <c r="S226" i="5"/>
  <c r="G726" i="7" s="1"/>
  <c r="G725" i="7"/>
  <c r="G728" i="7" s="1"/>
  <c r="S244" i="5"/>
  <c r="F1045" i="7" s="1"/>
  <c r="C55" i="7"/>
  <c r="F39" i="7"/>
  <c r="P100" i="5"/>
  <c r="P101" i="5"/>
  <c r="P102" i="5" s="1"/>
  <c r="Q101" i="5"/>
  <c r="Q100" i="5"/>
  <c r="R100" i="5"/>
  <c r="AH57" i="1"/>
  <c r="AH64" i="1"/>
  <c r="CS64" i="1" s="1"/>
  <c r="CS56" i="1"/>
  <c r="T55" i="7" s="1"/>
  <c r="P58" i="9"/>
  <c r="Q57" i="9"/>
  <c r="P56" i="9"/>
  <c r="DD64" i="1"/>
  <c r="X39" i="9"/>
  <c r="X32" i="9"/>
  <c r="X12" i="9"/>
  <c r="U10" i="6"/>
  <c r="V10" i="6" s="1"/>
  <c r="S150" i="8"/>
  <c r="P271" i="5"/>
  <c r="O39" i="7"/>
  <c r="L55" i="7"/>
  <c r="S85" i="5"/>
  <c r="Z132" i="9"/>
  <c r="Z26" i="9"/>
  <c r="AI57" i="1"/>
  <c r="CT56" i="1"/>
  <c r="U55" i="7" s="1"/>
  <c r="AI64" i="1"/>
  <c r="CX56" i="1"/>
  <c r="Y55" i="7" s="1"/>
  <c r="AM57" i="1"/>
  <c r="P134" i="8"/>
  <c r="M225" i="5"/>
  <c r="CV56" i="1"/>
  <c r="W55" i="7" s="1"/>
  <c r="AK57" i="1"/>
  <c r="AK64" i="1"/>
  <c r="CV64" i="1" s="1"/>
  <c r="D66" i="1"/>
  <c r="E66" i="7"/>
  <c r="V44" i="8"/>
  <c r="V48" i="8" s="1"/>
  <c r="V50" i="8" s="1"/>
  <c r="V147" i="8"/>
  <c r="H189" i="8" s="1"/>
  <c r="S267" i="5"/>
  <c r="S274" i="5" s="1"/>
  <c r="S276" i="5"/>
  <c r="X25" i="5"/>
  <c r="W23" i="5"/>
  <c r="X21" i="5"/>
  <c r="S139" i="8"/>
  <c r="D578" i="7"/>
  <c r="P238" i="5"/>
  <c r="P276" i="5"/>
  <c r="S42" i="8"/>
  <c r="S48" i="8" s="1"/>
  <c r="S50" i="8" s="1"/>
  <c r="P232" i="5"/>
  <c r="P236" i="5" s="1"/>
  <c r="Z348" i="5"/>
  <c r="AA345" i="5"/>
  <c r="AA348" i="5" s="1"/>
  <c r="P366" i="5"/>
  <c r="D730" i="7"/>
  <c r="D731" i="7" s="1"/>
  <c r="P258" i="5"/>
  <c r="N38" i="7"/>
  <c r="M38" i="7" s="1"/>
  <c r="L38" i="7" s="1"/>
  <c r="J38" i="7" s="1"/>
  <c r="I38" i="7" s="1"/>
  <c r="H38" i="7" s="1"/>
  <c r="G38" i="7" s="1"/>
  <c r="F38" i="7" s="1"/>
  <c r="E38" i="7" s="1"/>
  <c r="D38" i="7" s="1"/>
  <c r="C38" i="7" s="1"/>
  <c r="D131" i="5"/>
  <c r="E153" i="5"/>
  <c r="E362" i="5"/>
  <c r="E331" i="5"/>
  <c r="E54" i="9"/>
  <c r="F55" i="9"/>
  <c r="F57" i="9" s="1"/>
  <c r="F58" i="9" s="1"/>
  <c r="Q202" i="5"/>
  <c r="Q203" i="5" s="1"/>
  <c r="Q206" i="5"/>
  <c r="AA67" i="7"/>
  <c r="AE64" i="7"/>
  <c r="AA131" i="9"/>
  <c r="AA142" i="5"/>
  <c r="AA143" i="5" s="1"/>
  <c r="U150" i="8"/>
  <c r="R271" i="5"/>
  <c r="R280" i="5"/>
  <c r="Q145" i="9"/>
  <c r="R144" i="9"/>
  <c r="AA141" i="9"/>
  <c r="E727" i="7"/>
  <c r="Q365" i="5"/>
  <c r="Q244" i="5"/>
  <c r="D1045" i="7" s="1"/>
  <c r="Q103" i="5"/>
  <c r="Q65" i="5"/>
  <c r="R65" i="5"/>
  <c r="G268" i="5"/>
  <c r="G250" i="5"/>
  <c r="G271" i="5" s="1"/>
  <c r="P27" i="6"/>
  <c r="X22" i="5"/>
  <c r="R200" i="9"/>
  <c r="R192" i="9" s="1"/>
  <c r="Q193" i="9"/>
  <c r="Q194" i="9"/>
  <c r="AO57" i="1"/>
  <c r="X143" i="9"/>
  <c r="N39" i="7"/>
  <c r="J55" i="7"/>
  <c r="CN64" i="1"/>
  <c r="Q195" i="9"/>
  <c r="S196" i="5"/>
  <c r="R205" i="5"/>
  <c r="T362" i="5"/>
  <c r="T391" i="5" s="1"/>
  <c r="U131" i="5"/>
  <c r="T331" i="5"/>
  <c r="T153" i="5"/>
  <c r="S101" i="5"/>
  <c r="S102" i="5" s="1"/>
  <c r="S100" i="5"/>
  <c r="D573" i="7"/>
  <c r="E573" i="7" s="1"/>
  <c r="E568" i="7"/>
  <c r="R166" i="5"/>
  <c r="R167" i="5" s="1"/>
  <c r="R257" i="5"/>
  <c r="Y67" i="5"/>
  <c r="X78" i="5"/>
  <c r="X71" i="5"/>
  <c r="X73" i="5"/>
  <c r="X74" i="5"/>
  <c r="S263" i="5"/>
  <c r="S269" i="5"/>
  <c r="V149" i="8"/>
  <c r="H191" i="8" s="1"/>
  <c r="S278" i="5"/>
  <c r="S395" i="5"/>
  <c r="S396" i="5" s="1"/>
  <c r="S397" i="5" s="1"/>
  <c r="S261" i="5"/>
  <c r="D202" i="7"/>
  <c r="E210" i="7"/>
  <c r="M151" i="5"/>
  <c r="M150" i="5" s="1"/>
  <c r="M248" i="5" s="1"/>
  <c r="E407" i="7"/>
  <c r="U72" i="5"/>
  <c r="G55" i="7"/>
  <c r="J39" i="7"/>
  <c r="H268" i="5"/>
  <c r="H250" i="5"/>
  <c r="H271" i="5" s="1"/>
  <c r="Z3" i="8"/>
  <c r="Z4" i="8" s="1"/>
  <c r="Q8" i="6"/>
  <c r="X329" i="5"/>
  <c r="AA3" i="8" s="1"/>
  <c r="AA4" i="8" s="1"/>
  <c r="Q203" i="9"/>
  <c r="Q202" i="9"/>
  <c r="CZ56" i="1"/>
  <c r="AA55" i="7" s="1"/>
  <c r="M267" i="5"/>
  <c r="M274" i="5" s="1"/>
  <c r="P44" i="8"/>
  <c r="P147" i="8"/>
  <c r="AD64" i="7"/>
  <c r="W208" i="9"/>
  <c r="W249" i="5"/>
  <c r="X194" i="5"/>
  <c r="S164" i="5"/>
  <c r="S166" i="5" s="1"/>
  <c r="T158" i="5"/>
  <c r="Z335" i="5"/>
  <c r="Y360" i="5"/>
  <c r="Y336" i="5"/>
  <c r="O38" i="7"/>
  <c r="CK64" i="1"/>
  <c r="CO64" i="1"/>
  <c r="T69" i="5"/>
  <c r="U76" i="5"/>
  <c r="O242" i="5"/>
  <c r="R142" i="8"/>
  <c r="Q43" i="6" l="1"/>
  <c r="Q7" i="6"/>
  <c r="G53" i="12"/>
  <c r="G58" i="12" s="1"/>
  <c r="G32" i="12"/>
  <c r="G107" i="12"/>
  <c r="C1079" i="7"/>
  <c r="Y318" i="5"/>
  <c r="Z317" i="5"/>
  <c r="X309" i="5"/>
  <c r="F34" i="12"/>
  <c r="F29" i="12"/>
  <c r="P19" i="6" s="1"/>
  <c r="F26" i="12"/>
  <c r="F72" i="12"/>
  <c r="F75" i="12" s="1"/>
  <c r="Y11" i="8"/>
  <c r="AA11" i="8"/>
  <c r="H275" i="7"/>
  <c r="V394" i="5"/>
  <c r="V137" i="5"/>
  <c r="V218" i="5" s="1"/>
  <c r="V240" i="5" s="1"/>
  <c r="W136" i="5"/>
  <c r="X133" i="5"/>
  <c r="W144" i="5"/>
  <c r="W145" i="5" s="1"/>
  <c r="W147" i="5"/>
  <c r="W230" i="5" s="1"/>
  <c r="W394" i="5" s="1"/>
  <c r="L23" i="7"/>
  <c r="O4" i="7"/>
  <c r="CY56" i="1"/>
  <c r="Z55" i="7" s="1"/>
  <c r="AJ57" i="1"/>
  <c r="E43" i="5"/>
  <c r="D2" i="5"/>
  <c r="Q100" i="9"/>
  <c r="Q104" i="9" s="1"/>
  <c r="Q112" i="9" s="1"/>
  <c r="R93" i="9"/>
  <c r="O161" i="9"/>
  <c r="O159" i="9"/>
  <c r="S156" i="9"/>
  <c r="T154" i="9"/>
  <c r="Z88" i="5"/>
  <c r="Y90" i="5"/>
  <c r="AN57" i="1"/>
  <c r="AJ64" i="1"/>
  <c r="CY64" i="1" s="1"/>
  <c r="V181" i="5"/>
  <c r="W183" i="5"/>
  <c r="V184" i="5"/>
  <c r="L189" i="9"/>
  <c r="K190" i="9"/>
  <c r="L36" i="6"/>
  <c r="L35" i="6"/>
  <c r="L38" i="6"/>
  <c r="L39" i="6" s="1"/>
  <c r="V38" i="8"/>
  <c r="T4" i="5"/>
  <c r="P115" i="9"/>
  <c r="P107" i="9" s="1"/>
  <c r="O116" i="9"/>
  <c r="O108" i="9" s="1"/>
  <c r="I214" i="7"/>
  <c r="M3" i="6"/>
  <c r="S43" i="5"/>
  <c r="S214" i="5" s="1"/>
  <c r="L209" i="7" s="1"/>
  <c r="T2" i="5"/>
  <c r="Q12" i="6"/>
  <c r="R12" i="6" s="1"/>
  <c r="S12" i="6" s="1"/>
  <c r="T12" i="6" s="1"/>
  <c r="U12" i="6" s="1"/>
  <c r="V12" i="6" s="1"/>
  <c r="V29" i="6" s="1"/>
  <c r="V30" i="6" s="1"/>
  <c r="M29" i="6"/>
  <c r="M30" i="6" s="1"/>
  <c r="M42" i="6" s="1"/>
  <c r="M41" i="6" s="1"/>
  <c r="M15" i="6"/>
  <c r="E175" i="9"/>
  <c r="F175" i="9"/>
  <c r="F500" i="7"/>
  <c r="F504" i="7" s="1"/>
  <c r="N226" i="5"/>
  <c r="P147" i="9"/>
  <c r="Q148" i="9" s="1"/>
  <c r="P144" i="9"/>
  <c r="O202" i="9"/>
  <c r="O188" i="9"/>
  <c r="P5" i="9"/>
  <c r="G739" i="7" s="1"/>
  <c r="O5" i="9"/>
  <c r="F739" i="7" s="1"/>
  <c r="O37" i="9"/>
  <c r="O13" i="9"/>
  <c r="F748" i="7" s="1"/>
  <c r="O28" i="9"/>
  <c r="F738" i="7"/>
  <c r="L495" i="7"/>
  <c r="L503" i="7" s="1"/>
  <c r="K503" i="7"/>
  <c r="P109" i="9"/>
  <c r="P158" i="9" s="1"/>
  <c r="O107" i="9"/>
  <c r="J24" i="9"/>
  <c r="J42" i="9"/>
  <c r="K2" i="9"/>
  <c r="J122" i="9"/>
  <c r="J152" i="9" s="1"/>
  <c r="J182" i="9" s="1"/>
  <c r="J205" i="9" s="1"/>
  <c r="R9" i="5"/>
  <c r="S8" i="5"/>
  <c r="CJ64" i="1"/>
  <c r="Z67" i="7"/>
  <c r="F275" i="7"/>
  <c r="F265" i="7"/>
  <c r="Q276" i="5"/>
  <c r="T44" i="8"/>
  <c r="T48" i="8" s="1"/>
  <c r="T50" i="8" s="1"/>
  <c r="T147" i="8"/>
  <c r="Q267" i="5"/>
  <c r="Q274" i="5" s="1"/>
  <c r="Q250" i="5"/>
  <c r="D275" i="7"/>
  <c r="D265" i="7"/>
  <c r="CW64" i="1"/>
  <c r="R147" i="8"/>
  <c r="O250" i="5"/>
  <c r="R44" i="8"/>
  <c r="R48" i="8" s="1"/>
  <c r="R50" i="8" s="1"/>
  <c r="O267" i="5"/>
  <c r="O274" i="5" s="1"/>
  <c r="O276" i="5"/>
  <c r="F55" i="7"/>
  <c r="I39" i="7"/>
  <c r="O226" i="5"/>
  <c r="C726" i="7" s="1"/>
  <c r="N244" i="5"/>
  <c r="X67" i="7"/>
  <c r="AB67" i="7"/>
  <c r="N269" i="5"/>
  <c r="Q149" i="8"/>
  <c r="N278" i="5"/>
  <c r="N250" i="5"/>
  <c r="N261" i="5"/>
  <c r="E262" i="7" s="1"/>
  <c r="N395" i="5"/>
  <c r="N396" i="5" s="1"/>
  <c r="N397" i="5" s="1"/>
  <c r="N263" i="5"/>
  <c r="CH64" i="1"/>
  <c r="CL64" i="1"/>
  <c r="AN67" i="1"/>
  <c r="AO66" i="1"/>
  <c r="AN59" i="1"/>
  <c r="AN60" i="1" s="1"/>
  <c r="AN61" i="1" s="1"/>
  <c r="M55" i="7"/>
  <c r="P39" i="7"/>
  <c r="L39" i="7"/>
  <c r="H55" i="7"/>
  <c r="D206" i="7"/>
  <c r="S167" i="5"/>
  <c r="P244" i="5"/>
  <c r="C1045" i="7" s="1"/>
  <c r="P283" i="5"/>
  <c r="D727" i="7"/>
  <c r="P365" i="5"/>
  <c r="P368" i="5" s="1"/>
  <c r="P369" i="5" s="1"/>
  <c r="P149" i="8"/>
  <c r="M278" i="5"/>
  <c r="M395" i="5"/>
  <c r="M396" i="5" s="1"/>
  <c r="M397" i="5" s="1"/>
  <c r="M263" i="5"/>
  <c r="M269" i="5"/>
  <c r="M261" i="5"/>
  <c r="Y78" i="5"/>
  <c r="Y71" i="5"/>
  <c r="Z67" i="5"/>
  <c r="Y73" i="5"/>
  <c r="Y74" i="5"/>
  <c r="Q104" i="5"/>
  <c r="R104" i="5"/>
  <c r="D66" i="7"/>
  <c r="C66" i="1"/>
  <c r="C66" i="7" s="1"/>
  <c r="V72" i="5"/>
  <c r="R206" i="5"/>
  <c r="R202" i="5"/>
  <c r="R203" i="5" s="1"/>
  <c r="AA335" i="5"/>
  <c r="Z360" i="5"/>
  <c r="Z336" i="5"/>
  <c r="Y194" i="5"/>
  <c r="Q27" i="6"/>
  <c r="R193" i="9"/>
  <c r="S200" i="9"/>
  <c r="S192" i="9" s="1"/>
  <c r="R194" i="9"/>
  <c r="R22" i="9"/>
  <c r="R195" i="9"/>
  <c r="E55" i="9"/>
  <c r="E57" i="9" s="1"/>
  <c r="E58" i="9" s="1"/>
  <c r="D54" i="9"/>
  <c r="Q102" i="5"/>
  <c r="R102" i="5"/>
  <c r="Z11" i="9"/>
  <c r="AA184" i="9"/>
  <c r="Z186" i="9"/>
  <c r="U158" i="5"/>
  <c r="T164" i="5"/>
  <c r="W262" i="5"/>
  <c r="E728" i="7"/>
  <c r="S142" i="8"/>
  <c r="P280" i="5"/>
  <c r="P242" i="5"/>
  <c r="S258" i="5"/>
  <c r="S366" i="5"/>
  <c r="S368" i="5" s="1"/>
  <c r="S369" i="5" s="1"/>
  <c r="G730" i="7"/>
  <c r="S283" i="5"/>
  <c r="S86" i="5"/>
  <c r="S91" i="5" s="1"/>
  <c r="S92" i="5" s="1"/>
  <c r="S94" i="5"/>
  <c r="Y39" i="9"/>
  <c r="Y12" i="9"/>
  <c r="Y32" i="9"/>
  <c r="Z116" i="8"/>
  <c r="Z11" i="8"/>
  <c r="F730" i="7"/>
  <c r="R366" i="5"/>
  <c r="R368" i="5" s="1"/>
  <c r="R369" i="5" s="1"/>
  <c r="R258" i="5"/>
  <c r="R283" i="5"/>
  <c r="Y22" i="5"/>
  <c r="AA132" i="9"/>
  <c r="AA26" i="9"/>
  <c r="D577" i="7"/>
  <c r="E577" i="7" s="1"/>
  <c r="E578" i="7"/>
  <c r="Y21" i="5"/>
  <c r="X23" i="5"/>
  <c r="Y25" i="5"/>
  <c r="U77" i="5"/>
  <c r="U79" i="5" s="1"/>
  <c r="U80" i="5" s="1"/>
  <c r="U96" i="5" s="1"/>
  <c r="X249" i="5"/>
  <c r="X208" i="9"/>
  <c r="CZ64" i="1"/>
  <c r="C728" i="7"/>
  <c r="T51" i="9"/>
  <c r="S50" i="9"/>
  <c r="S65" i="9" s="1"/>
  <c r="S54" i="9"/>
  <c r="S55" i="9" s="1"/>
  <c r="U69" i="5"/>
  <c r="V76" i="5"/>
  <c r="M250" i="5"/>
  <c r="R8" i="6"/>
  <c r="R7" i="6" s="1"/>
  <c r="Y329" i="5"/>
  <c r="AB3" i="8" s="1"/>
  <c r="AB4" i="8" s="1"/>
  <c r="U153" i="5"/>
  <c r="U331" i="5"/>
  <c r="V131" i="5"/>
  <c r="U362" i="5"/>
  <c r="U391" i="5" s="1"/>
  <c r="T196" i="5"/>
  <c r="S205" i="5"/>
  <c r="Y143" i="9"/>
  <c r="R202" i="9"/>
  <c r="R203" i="9"/>
  <c r="V150" i="8"/>
  <c r="S271" i="5"/>
  <c r="S280" i="5"/>
  <c r="D153" i="5"/>
  <c r="D362" i="5"/>
  <c r="D331" i="5"/>
  <c r="C131" i="5"/>
  <c r="CT64" i="1"/>
  <c r="CX64" i="1"/>
  <c r="Q58" i="9"/>
  <c r="Q56" i="9"/>
  <c r="R57" i="9"/>
  <c r="C1052" i="7" l="1"/>
  <c r="D1079" i="7"/>
  <c r="AA116" i="8"/>
  <c r="AB16" i="8"/>
  <c r="Z318" i="5"/>
  <c r="AA317" i="5"/>
  <c r="Y309" i="5"/>
  <c r="CU64" i="1"/>
  <c r="Q19" i="6"/>
  <c r="C1080" i="7"/>
  <c r="F1079" i="7"/>
  <c r="E1079" i="7"/>
  <c r="W137" i="5"/>
  <c r="W218" i="5" s="1"/>
  <c r="W240" i="5" s="1"/>
  <c r="X136" i="5"/>
  <c r="X147" i="5"/>
  <c r="X230" i="5" s="1"/>
  <c r="X394" i="5" s="1"/>
  <c r="X144" i="5"/>
  <c r="X145" i="5" s="1"/>
  <c r="Y133" i="5"/>
  <c r="P4" i="7"/>
  <c r="N23" i="7" s="1"/>
  <c r="M23" i="7"/>
  <c r="C2" i="5"/>
  <c r="C43" i="5" s="1"/>
  <c r="D43" i="5"/>
  <c r="N29" i="6"/>
  <c r="N30" i="6" s="1"/>
  <c r="Q109" i="9"/>
  <c r="Q158" i="9" s="1"/>
  <c r="U2" i="5"/>
  <c r="T43" i="5"/>
  <c r="T214" i="5" s="1"/>
  <c r="M209" i="7" s="1"/>
  <c r="M189" i="9"/>
  <c r="L190" i="9"/>
  <c r="K42" i="9"/>
  <c r="K122" i="9"/>
  <c r="K152" i="9" s="1"/>
  <c r="K182" i="9" s="1"/>
  <c r="K205" i="9" s="1"/>
  <c r="K24" i="9"/>
  <c r="L2" i="9"/>
  <c r="P148" i="9"/>
  <c r="M35" i="6"/>
  <c r="M38" i="6"/>
  <c r="M39" i="6" s="1"/>
  <c r="M36" i="6"/>
  <c r="P116" i="9"/>
  <c r="P108" i="9" s="1"/>
  <c r="Q115" i="9"/>
  <c r="AA88" i="5"/>
  <c r="Z90" i="5"/>
  <c r="O162" i="9"/>
  <c r="O177" i="9"/>
  <c r="S7" i="5"/>
  <c r="S16" i="5" s="1"/>
  <c r="T8" i="5"/>
  <c r="P159" i="9"/>
  <c r="P161" i="9"/>
  <c r="F505" i="7"/>
  <c r="F507" i="7"/>
  <c r="F506" i="7"/>
  <c r="F501" i="7"/>
  <c r="F508" i="7"/>
  <c r="N3" i="6"/>
  <c r="J214" i="7"/>
  <c r="W38" i="8"/>
  <c r="U4" i="5"/>
  <c r="X183" i="5"/>
  <c r="W184" i="5"/>
  <c r="W181" i="5"/>
  <c r="U154" i="9"/>
  <c r="T156" i="9"/>
  <c r="R100" i="9"/>
  <c r="R104" i="9" s="1"/>
  <c r="R112" i="9" s="1"/>
  <c r="S93" i="9"/>
  <c r="Q257" i="5"/>
  <c r="T150" i="8"/>
  <c r="Q271" i="5"/>
  <c r="Q280" i="5"/>
  <c r="O257" i="5"/>
  <c r="O271" i="5"/>
  <c r="R150" i="8"/>
  <c r="O280" i="5"/>
  <c r="AP66" i="1"/>
  <c r="AO67" i="1"/>
  <c r="AO59" i="1"/>
  <c r="AO60" i="1" s="1"/>
  <c r="AO61" i="1" s="1"/>
  <c r="N257" i="5"/>
  <c r="N280" i="5"/>
  <c r="N271" i="5"/>
  <c r="Q150" i="8"/>
  <c r="S193" i="9"/>
  <c r="T200" i="9"/>
  <c r="T192" i="9" s="1"/>
  <c r="S194" i="9"/>
  <c r="S195" i="9"/>
  <c r="S22" i="9"/>
  <c r="M271" i="5"/>
  <c r="P150" i="8"/>
  <c r="M257" i="5"/>
  <c r="Y208" i="9"/>
  <c r="Y249" i="5"/>
  <c r="C331" i="5"/>
  <c r="C362" i="5"/>
  <c r="C153" i="5"/>
  <c r="Z143" i="9"/>
  <c r="R27" i="6"/>
  <c r="T54" i="9"/>
  <c r="T55" i="9" s="1"/>
  <c r="U51" i="9"/>
  <c r="T50" i="9"/>
  <c r="T65" i="9" s="1"/>
  <c r="X262" i="5"/>
  <c r="Z25" i="5"/>
  <c r="G833" i="7"/>
  <c r="R284" i="5"/>
  <c r="G834" i="7"/>
  <c r="AA11" i="9"/>
  <c r="AA186" i="9"/>
  <c r="Z194" i="5"/>
  <c r="AA360" i="5"/>
  <c r="AA336" i="5"/>
  <c r="E833" i="7"/>
  <c r="E834" i="7"/>
  <c r="P284" i="5"/>
  <c r="R56" i="9"/>
  <c r="S57" i="9"/>
  <c r="R58" i="9"/>
  <c r="V153" i="5"/>
  <c r="W131" i="5"/>
  <c r="V362" i="5"/>
  <c r="V391" i="5" s="1"/>
  <c r="V331" i="5"/>
  <c r="V77" i="5"/>
  <c r="H833" i="7"/>
  <c r="S284" i="5"/>
  <c r="H834" i="7"/>
  <c r="S203" i="9"/>
  <c r="S202" i="9"/>
  <c r="S202" i="5"/>
  <c r="S203" i="5" s="1"/>
  <c r="S206" i="5"/>
  <c r="G731" i="7"/>
  <c r="G732" i="7"/>
  <c r="G733" i="7" s="1"/>
  <c r="Z39" i="9"/>
  <c r="Z12" i="9"/>
  <c r="Z32" i="9"/>
  <c r="C54" i="9"/>
  <c r="C55" i="9" s="1"/>
  <c r="C57" i="9" s="1"/>
  <c r="C58" i="9" s="1"/>
  <c r="D55" i="9"/>
  <c r="D57" i="9" s="1"/>
  <c r="D58" i="9" s="1"/>
  <c r="Z78" i="5"/>
  <c r="Z73" i="5"/>
  <c r="Z74" i="5"/>
  <c r="Z71" i="5"/>
  <c r="AA67" i="5"/>
  <c r="AB67" i="5" s="1"/>
  <c r="U196" i="5"/>
  <c r="T205" i="5"/>
  <c r="S8" i="6"/>
  <c r="S7" i="6" s="1"/>
  <c r="Z329" i="5"/>
  <c r="AC3" i="8" s="1"/>
  <c r="AC4" i="8" s="1"/>
  <c r="V79" i="5"/>
  <c r="V80" i="5" s="1"/>
  <c r="V96" i="5" s="1"/>
  <c r="V69" i="5"/>
  <c r="W76" i="5"/>
  <c r="S67" i="9"/>
  <c r="S66" i="9"/>
  <c r="S72" i="9"/>
  <c r="Z21" i="5"/>
  <c r="Y23" i="5"/>
  <c r="Z22" i="5"/>
  <c r="F731" i="7"/>
  <c r="F732" i="7"/>
  <c r="F733" i="7" s="1"/>
  <c r="S95" i="5"/>
  <c r="S103" i="5"/>
  <c r="S104" i="5" s="1"/>
  <c r="V158" i="5"/>
  <c r="U164" i="5"/>
  <c r="W72" i="5"/>
  <c r="D732" i="7"/>
  <c r="D733" i="7" s="1"/>
  <c r="D728" i="7"/>
  <c r="AA90" i="5" l="1"/>
  <c r="AB88" i="5"/>
  <c r="C1059" i="7"/>
  <c r="F78" i="12"/>
  <c r="F82" i="12" s="1"/>
  <c r="Z309" i="5"/>
  <c r="AC16" i="8"/>
  <c r="AB116" i="8"/>
  <c r="AA318" i="5"/>
  <c r="D1080" i="7"/>
  <c r="P22" i="6"/>
  <c r="X137" i="5"/>
  <c r="X218" i="5" s="1"/>
  <c r="X240" i="5" s="1"/>
  <c r="Y136" i="5"/>
  <c r="Z133" i="5"/>
  <c r="Y144" i="5"/>
  <c r="Y145" i="5" s="1"/>
  <c r="Y147" i="5"/>
  <c r="Y230" i="5" s="1"/>
  <c r="Y394" i="5" s="1"/>
  <c r="X184" i="5"/>
  <c r="Y183" i="5"/>
  <c r="X181" i="5"/>
  <c r="P162" i="9"/>
  <c r="P164" i="9"/>
  <c r="P165" i="9" s="1"/>
  <c r="P167" i="9"/>
  <c r="O179" i="9"/>
  <c r="O180" i="9"/>
  <c r="O178" i="9"/>
  <c r="O7" i="9"/>
  <c r="O164" i="9"/>
  <c r="O165" i="9" s="1"/>
  <c r="P179" i="9"/>
  <c r="Q116" i="9"/>
  <c r="Q108" i="9" s="1"/>
  <c r="R115" i="9"/>
  <c r="Q107" i="9"/>
  <c r="U156" i="9"/>
  <c r="V154" i="9"/>
  <c r="M190" i="9"/>
  <c r="N189" i="9"/>
  <c r="Q159" i="9"/>
  <c r="Q161" i="9"/>
  <c r="S100" i="9"/>
  <c r="S104" i="9" s="1"/>
  <c r="S112" i="9" s="1"/>
  <c r="T93" i="9"/>
  <c r="U93" i="9" s="1"/>
  <c r="V93" i="9" s="1"/>
  <c r="W93" i="9" s="1"/>
  <c r="X93" i="9" s="1"/>
  <c r="Y93" i="9" s="1"/>
  <c r="Z93" i="9" s="1"/>
  <c r="AA93" i="9" s="1"/>
  <c r="O3" i="6"/>
  <c r="P3" i="6" s="1"/>
  <c r="Q3" i="6" s="1"/>
  <c r="R3" i="6" s="1"/>
  <c r="S3" i="6" s="1"/>
  <c r="T3" i="6" s="1"/>
  <c r="U3" i="6" s="1"/>
  <c r="L214" i="7"/>
  <c r="U8" i="5"/>
  <c r="T7" i="5"/>
  <c r="T16" i="5" s="1"/>
  <c r="R109" i="9"/>
  <c r="R158" i="9" s="1"/>
  <c r="R107" i="9"/>
  <c r="X38" i="8"/>
  <c r="V4" i="5"/>
  <c r="S14" i="5"/>
  <c r="S12" i="5"/>
  <c r="V39" i="8"/>
  <c r="S13" i="5"/>
  <c r="S18" i="5"/>
  <c r="S17" i="5"/>
  <c r="S29" i="5"/>
  <c r="S15" i="5"/>
  <c r="L24" i="9"/>
  <c r="C737" i="7"/>
  <c r="L122" i="9"/>
  <c r="L152" i="9" s="1"/>
  <c r="L182" i="9" s="1"/>
  <c r="L205" i="9" s="1"/>
  <c r="M2" i="9"/>
  <c r="L42" i="9"/>
  <c r="V2" i="5"/>
  <c r="U43" i="5"/>
  <c r="U214" i="5" s="1"/>
  <c r="O29" i="6"/>
  <c r="O30" i="6" s="1"/>
  <c r="O366" i="5"/>
  <c r="O368" i="5" s="1"/>
  <c r="O369" i="5" s="1"/>
  <c r="C730" i="7"/>
  <c r="O258" i="5"/>
  <c r="O283" i="5"/>
  <c r="Q366" i="5"/>
  <c r="Q368" i="5" s="1"/>
  <c r="Q369" i="5" s="1"/>
  <c r="Q258" i="5"/>
  <c r="E730" i="7"/>
  <c r="Q283" i="5"/>
  <c r="N258" i="5"/>
  <c r="N283" i="5"/>
  <c r="N366" i="5"/>
  <c r="N368" i="5" s="1"/>
  <c r="N369" i="5" s="1"/>
  <c r="AP67" i="1"/>
  <c r="AP59" i="1"/>
  <c r="AP60" i="1" s="1"/>
  <c r="AP61" i="1" s="1"/>
  <c r="AQ66" i="1"/>
  <c r="AA73" i="5"/>
  <c r="AB73" i="5" s="1"/>
  <c r="AA71" i="5"/>
  <c r="AB71" i="5" s="1"/>
  <c r="AA74" i="5"/>
  <c r="AB74" i="5" s="1"/>
  <c r="AB82" i="5" s="1"/>
  <c r="AA78" i="5"/>
  <c r="AB78" i="5" s="1"/>
  <c r="Z208" i="9"/>
  <c r="Z249" i="5"/>
  <c r="T176" i="5"/>
  <c r="T169" i="5"/>
  <c r="T190" i="5"/>
  <c r="W69" i="5"/>
  <c r="X76" i="5"/>
  <c r="T8" i="6"/>
  <c r="T7" i="6" s="1"/>
  <c r="AA329" i="5"/>
  <c r="AD3" i="8" s="1"/>
  <c r="AD4" i="8" s="1"/>
  <c r="S58" i="9"/>
  <c r="S56" i="9"/>
  <c r="T57" i="9"/>
  <c r="U50" i="9"/>
  <c r="U65" i="9" s="1"/>
  <c r="U54" i="9"/>
  <c r="U55" i="9" s="1"/>
  <c r="V51" i="9"/>
  <c r="AA143" i="9"/>
  <c r="AB143" i="9" s="1"/>
  <c r="M258" i="5"/>
  <c r="M366" i="5"/>
  <c r="S27" i="6"/>
  <c r="W362" i="5"/>
  <c r="W391" i="5" s="1"/>
  <c r="X131" i="5"/>
  <c r="W153" i="5"/>
  <c r="W331" i="5"/>
  <c r="AA39" i="9"/>
  <c r="AA32" i="9"/>
  <c r="AA12" i="9"/>
  <c r="U200" i="9"/>
  <c r="U192" i="9"/>
  <c r="X72" i="5"/>
  <c r="Z23" i="5"/>
  <c r="AA21" i="5"/>
  <c r="T206" i="5"/>
  <c r="AA194" i="5"/>
  <c r="Y262" i="5"/>
  <c r="T203" i="9"/>
  <c r="V164" i="5"/>
  <c r="W158" i="5"/>
  <c r="AA22" i="5"/>
  <c r="S80" i="9"/>
  <c r="V196" i="5"/>
  <c r="U205" i="5"/>
  <c r="W77" i="5"/>
  <c r="AA25" i="5"/>
  <c r="T67" i="9"/>
  <c r="T66" i="9"/>
  <c r="F99" i="12" l="1"/>
  <c r="O32" i="6"/>
  <c r="AB90" i="5"/>
  <c r="P44" i="6"/>
  <c r="AA309" i="5"/>
  <c r="AD116" i="8" s="1"/>
  <c r="AC116" i="8"/>
  <c r="AD16" i="8"/>
  <c r="E1080" i="7"/>
  <c r="AA133" i="5"/>
  <c r="AB133" i="5" s="1"/>
  <c r="Z144" i="5"/>
  <c r="Z145" i="5" s="1"/>
  <c r="Z147" i="5"/>
  <c r="Z230" i="5" s="1"/>
  <c r="Z136" i="5"/>
  <c r="Y137" i="5"/>
  <c r="Y218" i="5" s="1"/>
  <c r="Y240" i="5" s="1"/>
  <c r="T202" i="5"/>
  <c r="T203" i="5" s="1"/>
  <c r="T209" i="5"/>
  <c r="U7" i="5"/>
  <c r="U16" i="5" s="1"/>
  <c r="V8" i="5"/>
  <c r="P29" i="6"/>
  <c r="P30" i="6" s="1"/>
  <c r="S30" i="5"/>
  <c r="S37" i="5"/>
  <c r="N190" i="9"/>
  <c r="O189" i="9"/>
  <c r="M122" i="9"/>
  <c r="M152" i="9" s="1"/>
  <c r="M182" i="9" s="1"/>
  <c r="M205" i="9" s="1"/>
  <c r="N2" i="9"/>
  <c r="D737" i="7"/>
  <c r="M42" i="9"/>
  <c r="M24" i="9"/>
  <c r="S32" i="5"/>
  <c r="S39" i="5"/>
  <c r="R159" i="9"/>
  <c r="R161" i="9"/>
  <c r="S115" i="9"/>
  <c r="R116" i="9"/>
  <c r="R108" i="9" s="1"/>
  <c r="O38" i="9"/>
  <c r="F741" i="7"/>
  <c r="O9" i="9"/>
  <c r="F743" i="7" s="1"/>
  <c r="O15" i="9"/>
  <c r="O30" i="9"/>
  <c r="O8" i="9"/>
  <c r="F742" i="7" s="1"/>
  <c r="P8" i="9"/>
  <c r="G742" i="7" s="1"/>
  <c r="P172" i="9"/>
  <c r="P169" i="9"/>
  <c r="P168" i="9"/>
  <c r="P170" i="9"/>
  <c r="P171" i="9" s="1"/>
  <c r="Y184" i="5"/>
  <c r="Z183" i="5"/>
  <c r="Y181" i="5"/>
  <c r="W2" i="5"/>
  <c r="V43" i="5"/>
  <c r="V214" i="5" s="1"/>
  <c r="S40" i="5"/>
  <c r="S33" i="5"/>
  <c r="S38" i="5"/>
  <c r="S31" i="5"/>
  <c r="W4" i="5"/>
  <c r="Y38" i="8"/>
  <c r="T18" i="5"/>
  <c r="T12" i="5"/>
  <c r="W39" i="8"/>
  <c r="T13" i="5"/>
  <c r="T14" i="5"/>
  <c r="T17" i="5"/>
  <c r="T15" i="5"/>
  <c r="Q167" i="9"/>
  <c r="Q162" i="9"/>
  <c r="Q164" i="9"/>
  <c r="Q165" i="9" s="1"/>
  <c r="W154" i="9"/>
  <c r="V156" i="9"/>
  <c r="D834" i="7"/>
  <c r="D833" i="7"/>
  <c r="O284" i="5"/>
  <c r="E731" i="7"/>
  <c r="E732" i="7"/>
  <c r="E733" i="7" s="1"/>
  <c r="C731" i="7"/>
  <c r="C732" i="7"/>
  <c r="C733" i="7" s="1"/>
  <c r="F833" i="7"/>
  <c r="F834" i="7"/>
  <c r="Q284" i="5"/>
  <c r="AR66" i="1"/>
  <c r="AQ67" i="1"/>
  <c r="AQ59" i="1"/>
  <c r="AQ60" i="1" s="1"/>
  <c r="AQ61" i="1" s="1"/>
  <c r="C833" i="7"/>
  <c r="N284" i="5"/>
  <c r="C834" i="7"/>
  <c r="U66" i="9"/>
  <c r="U67" i="9"/>
  <c r="U8" i="6"/>
  <c r="U7" i="6" s="1"/>
  <c r="S107" i="9"/>
  <c r="S60" i="9" s="1"/>
  <c r="S109" i="9"/>
  <c r="S158" i="9" s="1"/>
  <c r="X158" i="5"/>
  <c r="W164" i="5"/>
  <c r="W196" i="5"/>
  <c r="V205" i="5"/>
  <c r="Y72" i="5"/>
  <c r="U203" i="9"/>
  <c r="T56" i="9"/>
  <c r="U57" i="9"/>
  <c r="X77" i="5"/>
  <c r="X79" i="5" s="1"/>
  <c r="X80" i="5" s="1"/>
  <c r="X96" i="5" s="1"/>
  <c r="W79" i="5"/>
  <c r="W80" i="5" s="1"/>
  <c r="W96" i="5" s="1"/>
  <c r="V200" i="9"/>
  <c r="V192" i="9" s="1"/>
  <c r="T27" i="6"/>
  <c r="U206" i="5"/>
  <c r="AA23" i="5"/>
  <c r="AA249" i="5"/>
  <c r="AA208" i="9"/>
  <c r="X153" i="5"/>
  <c r="Y131" i="5"/>
  <c r="X362" i="5"/>
  <c r="X391" i="5" s="1"/>
  <c r="X331" i="5"/>
  <c r="V54" i="9"/>
  <c r="V55" i="9" s="1"/>
  <c r="W51" i="9"/>
  <c r="V50" i="9"/>
  <c r="V65" i="9" s="1"/>
  <c r="X69" i="5"/>
  <c r="Y76" i="5"/>
  <c r="T229" i="5"/>
  <c r="T191" i="5"/>
  <c r="T211" i="5"/>
  <c r="T247" i="5" s="1"/>
  <c r="T217" i="5"/>
  <c r="Z262" i="5"/>
  <c r="AB144" i="5" l="1"/>
  <c r="AB147" i="5"/>
  <c r="AB230" i="5" s="1"/>
  <c r="O40" i="9"/>
  <c r="C1021" i="7"/>
  <c r="C1023" i="7" s="1"/>
  <c r="C1024" i="7" s="1"/>
  <c r="D1024" i="7" s="1"/>
  <c r="E1024" i="7" s="1"/>
  <c r="F1024" i="7" s="1"/>
  <c r="G1024" i="7" s="1"/>
  <c r="F244" i="12"/>
  <c r="P13" i="6"/>
  <c r="P46" i="6" s="1"/>
  <c r="P51" i="6" s="1"/>
  <c r="F102" i="12"/>
  <c r="P48" i="6"/>
  <c r="Z394" i="5"/>
  <c r="Z137" i="5"/>
  <c r="Z218" i="5" s="1"/>
  <c r="Z240" i="5" s="1"/>
  <c r="AA136" i="5"/>
  <c r="AA144" i="5"/>
  <c r="AA145" i="5" s="1"/>
  <c r="AA147" i="5"/>
  <c r="AA230" i="5" s="1"/>
  <c r="Z38" i="8"/>
  <c r="X4" i="5"/>
  <c r="AA183" i="5"/>
  <c r="Z184" i="5"/>
  <c r="Z181" i="5"/>
  <c r="O207" i="9"/>
  <c r="O209" i="9" s="1"/>
  <c r="O210" i="9" s="1"/>
  <c r="O34" i="9"/>
  <c r="N24" i="9"/>
  <c r="O2" i="9"/>
  <c r="E737" i="7"/>
  <c r="N42" i="9"/>
  <c r="N122" i="9"/>
  <c r="N152" i="9" s="1"/>
  <c r="N182" i="9" s="1"/>
  <c r="N205" i="9" s="1"/>
  <c r="S41" i="5"/>
  <c r="X39" i="8"/>
  <c r="U12" i="5"/>
  <c r="U14" i="5"/>
  <c r="U13" i="5"/>
  <c r="U18" i="5"/>
  <c r="U15" i="5"/>
  <c r="U17" i="5"/>
  <c r="U11" i="5"/>
  <c r="T29" i="5"/>
  <c r="T36" i="5"/>
  <c r="W36" i="8"/>
  <c r="W37" i="8" s="1"/>
  <c r="T46" i="5"/>
  <c r="T30" i="5"/>
  <c r="T37" i="5"/>
  <c r="P173" i="9"/>
  <c r="P174" i="9"/>
  <c r="P175" i="9" s="1"/>
  <c r="O20" i="9"/>
  <c r="O16" i="9"/>
  <c r="F754" i="7" s="1"/>
  <c r="F753" i="7"/>
  <c r="P16" i="9"/>
  <c r="G754" i="7" s="1"/>
  <c r="O17" i="9"/>
  <c r="F755" i="7" s="1"/>
  <c r="O194" i="9"/>
  <c r="Q168" i="9"/>
  <c r="Q169" i="9"/>
  <c r="Q170" i="9"/>
  <c r="Q171" i="9" s="1"/>
  <c r="Q172" i="9"/>
  <c r="T32" i="5"/>
  <c r="T39" i="5"/>
  <c r="W43" i="5"/>
  <c r="W214" i="5" s="1"/>
  <c r="X2" i="5"/>
  <c r="T115" i="9"/>
  <c r="S116" i="9"/>
  <c r="S108" i="9" s="1"/>
  <c r="S61" i="9" s="1"/>
  <c r="S71" i="9" s="1"/>
  <c r="O190" i="9"/>
  <c r="P189" i="9"/>
  <c r="W156" i="9"/>
  <c r="X154" i="9"/>
  <c r="T40" i="5"/>
  <c r="T33" i="5"/>
  <c r="T31" i="5"/>
  <c r="T38" i="5"/>
  <c r="R167" i="9"/>
  <c r="R164" i="9"/>
  <c r="R165" i="9" s="1"/>
  <c r="R162" i="9"/>
  <c r="Q29" i="6"/>
  <c r="Q30" i="6" s="1"/>
  <c r="V7" i="5"/>
  <c r="V16" i="5" s="1"/>
  <c r="W8" i="5"/>
  <c r="AS66" i="1"/>
  <c r="AR59" i="1"/>
  <c r="AR60" i="1" s="1"/>
  <c r="AR61" i="1" s="1"/>
  <c r="AR67" i="1"/>
  <c r="W200" i="9"/>
  <c r="W192" i="9" s="1"/>
  <c r="S159" i="9"/>
  <c r="S161" i="9"/>
  <c r="AA262" i="5"/>
  <c r="Y77" i="5"/>
  <c r="Y79" i="5" s="1"/>
  <c r="Y80" i="5" s="1"/>
  <c r="Y96" i="5" s="1"/>
  <c r="V57" i="9"/>
  <c r="U56" i="9"/>
  <c r="W148" i="8"/>
  <c r="W54" i="9"/>
  <c r="W55" i="9" s="1"/>
  <c r="X51" i="9"/>
  <c r="W50" i="9"/>
  <c r="W65" i="9" s="1"/>
  <c r="X196" i="5"/>
  <c r="W205" i="5"/>
  <c r="Y158" i="5"/>
  <c r="X164" i="5"/>
  <c r="T239" i="5"/>
  <c r="W140" i="8"/>
  <c r="E189" i="8" s="1"/>
  <c r="T277" i="5"/>
  <c r="V203" i="9"/>
  <c r="T99" i="9"/>
  <c r="S70" i="9"/>
  <c r="S85" i="9"/>
  <c r="S78" i="9"/>
  <c r="U27" i="6"/>
  <c r="W132" i="8"/>
  <c r="Y69" i="5"/>
  <c r="Z76" i="5"/>
  <c r="V67" i="9"/>
  <c r="V66" i="9"/>
  <c r="Z131" i="5"/>
  <c r="Y331" i="5"/>
  <c r="Y153" i="5"/>
  <c r="Y362" i="5"/>
  <c r="Y391" i="5" s="1"/>
  <c r="Z72" i="5"/>
  <c r="V206" i="5"/>
  <c r="AB394" i="5" l="1"/>
  <c r="AA137" i="5"/>
  <c r="AA218" i="5" s="1"/>
  <c r="AA240" i="5" s="1"/>
  <c r="AB136" i="5"/>
  <c r="AB137" i="5" s="1"/>
  <c r="AB218" i="5" s="1"/>
  <c r="AB240" i="5" s="1"/>
  <c r="AB145" i="5"/>
  <c r="F1080" i="7"/>
  <c r="Y4" i="5"/>
  <c r="AA38" i="8"/>
  <c r="F107" i="12"/>
  <c r="P47" i="6" s="1"/>
  <c r="P16" i="6"/>
  <c r="P37" i="6" s="1"/>
  <c r="Q21" i="6"/>
  <c r="AA394" i="5"/>
  <c r="S86" i="9"/>
  <c r="W7" i="5"/>
  <c r="W16" i="5" s="1"/>
  <c r="X8" i="5"/>
  <c r="X156" i="9"/>
  <c r="Y154" i="9"/>
  <c r="T41" i="5"/>
  <c r="U39" i="5"/>
  <c r="U32" i="5"/>
  <c r="S79" i="9"/>
  <c r="V17" i="5"/>
  <c r="V13" i="5"/>
  <c r="V14" i="5"/>
  <c r="V11" i="5"/>
  <c r="V18" i="5"/>
  <c r="V15" i="5"/>
  <c r="Y39" i="8"/>
  <c r="V12" i="5"/>
  <c r="U115" i="9"/>
  <c r="T116" i="9"/>
  <c r="O21" i="9"/>
  <c r="O195" i="9"/>
  <c r="O22" i="9"/>
  <c r="U40" i="5"/>
  <c r="U33" i="5"/>
  <c r="U30" i="5"/>
  <c r="U37" i="5"/>
  <c r="T100" i="9"/>
  <c r="P190" i="9"/>
  <c r="Q189" i="9"/>
  <c r="X43" i="5"/>
  <c r="X214" i="5" s="1"/>
  <c r="Y2" i="5"/>
  <c r="Q174" i="9"/>
  <c r="Q175" i="9" s="1"/>
  <c r="Q173" i="9"/>
  <c r="T47" i="5"/>
  <c r="U45" i="5"/>
  <c r="AA184" i="5"/>
  <c r="AA181" i="5"/>
  <c r="R29" i="6"/>
  <c r="R30" i="6" s="1"/>
  <c r="R169" i="9"/>
  <c r="R172" i="9"/>
  <c r="R170" i="9"/>
  <c r="R171" i="9" s="1"/>
  <c r="R168" i="9"/>
  <c r="U36" i="5"/>
  <c r="U46" i="5"/>
  <c r="V45" i="5" s="1"/>
  <c r="U29" i="5"/>
  <c r="X36" i="8"/>
  <c r="X37" i="8" s="1"/>
  <c r="U38" i="5"/>
  <c r="U31" i="5"/>
  <c r="P2" i="9"/>
  <c r="O122" i="9"/>
  <c r="O152" i="9" s="1"/>
  <c r="O182" i="9" s="1"/>
  <c r="O205" i="9" s="1"/>
  <c r="O24" i="9"/>
  <c r="F737" i="7"/>
  <c r="O42" i="9"/>
  <c r="AT66" i="1"/>
  <c r="AS67" i="1"/>
  <c r="AS59" i="1"/>
  <c r="AS60" i="1" s="1"/>
  <c r="AS61" i="1" s="1"/>
  <c r="S162" i="9"/>
  <c r="S164" i="9"/>
  <c r="S165" i="9" s="1"/>
  <c r="S167" i="9"/>
  <c r="Y196" i="5"/>
  <c r="X205" i="5"/>
  <c r="W66" i="9"/>
  <c r="W67" i="9"/>
  <c r="V56" i="9"/>
  <c r="W57" i="9"/>
  <c r="W203" i="9"/>
  <c r="Y51" i="9"/>
  <c r="X50" i="9"/>
  <c r="X65" i="9" s="1"/>
  <c r="X54" i="9"/>
  <c r="X55" i="9" s="1"/>
  <c r="X200" i="9"/>
  <c r="X192" i="9" s="1"/>
  <c r="S75" i="9"/>
  <c r="Y164" i="5"/>
  <c r="Z158" i="5"/>
  <c r="Z77" i="5"/>
  <c r="Z79" i="5" s="1"/>
  <c r="Z80" i="5" s="1"/>
  <c r="Z96" i="5" s="1"/>
  <c r="AA72" i="5"/>
  <c r="AB72" i="5" s="1"/>
  <c r="AB84" i="5" s="1"/>
  <c r="AA131" i="5"/>
  <c r="Z331" i="5"/>
  <c r="Z153" i="5"/>
  <c r="Z362" i="5"/>
  <c r="Z391" i="5" s="1"/>
  <c r="Z69" i="5"/>
  <c r="AA76" i="5"/>
  <c r="AB76" i="5" s="1"/>
  <c r="T104" i="9"/>
  <c r="T112" i="9" s="1"/>
  <c r="W206" i="5"/>
  <c r="AB69" i="5" l="1"/>
  <c r="T57" i="5"/>
  <c r="T58" i="5" s="1"/>
  <c r="T82" i="5"/>
  <c r="T85" i="5"/>
  <c r="T94" i="5" s="1"/>
  <c r="T95" i="5" s="1"/>
  <c r="T50" i="5"/>
  <c r="T84" i="5"/>
  <c r="Z4" i="5"/>
  <c r="AB38" i="8"/>
  <c r="R174" i="9"/>
  <c r="R175" i="9" s="1"/>
  <c r="R173" i="9"/>
  <c r="T60" i="5"/>
  <c r="T48" i="5"/>
  <c r="V115" i="9"/>
  <c r="U116" i="9"/>
  <c r="W17" i="5"/>
  <c r="W15" i="5"/>
  <c r="W14" i="5"/>
  <c r="W12" i="5"/>
  <c r="W18" i="5"/>
  <c r="W13" i="5"/>
  <c r="Z39" i="8"/>
  <c r="W11" i="5"/>
  <c r="P122" i="9"/>
  <c r="P152" i="9" s="1"/>
  <c r="P182" i="9" s="1"/>
  <c r="P205" i="9" s="1"/>
  <c r="Q2" i="9"/>
  <c r="G737" i="7"/>
  <c r="P42" i="9"/>
  <c r="P24" i="9"/>
  <c r="Q190" i="9"/>
  <c r="R189" i="9"/>
  <c r="V37" i="5"/>
  <c r="V30" i="5"/>
  <c r="V46" i="5"/>
  <c r="W45" i="5" s="1"/>
  <c r="Y36" i="8"/>
  <c r="Y37" i="8" s="1"/>
  <c r="V36" i="5"/>
  <c r="V29" i="5"/>
  <c r="Y156" i="9"/>
  <c r="Z154" i="9"/>
  <c r="V39" i="5"/>
  <c r="V32" i="5"/>
  <c r="U41" i="5"/>
  <c r="S29" i="6"/>
  <c r="S30" i="6" s="1"/>
  <c r="U47" i="5"/>
  <c r="Y43" i="5"/>
  <c r="Y214" i="5" s="1"/>
  <c r="Z2" i="5"/>
  <c r="V33" i="5"/>
  <c r="V40" i="5"/>
  <c r="V31" i="5"/>
  <c r="V38" i="5"/>
  <c r="Y8" i="5"/>
  <c r="X7" i="5"/>
  <c r="X16" i="5" s="1"/>
  <c r="AA39" i="8" s="1"/>
  <c r="AU66" i="1"/>
  <c r="AV66" i="1" s="1"/>
  <c r="AT59" i="1"/>
  <c r="AT60" i="1" s="1"/>
  <c r="AT61" i="1" s="1"/>
  <c r="AT67" i="1"/>
  <c r="Y200" i="9"/>
  <c r="Y192" i="9" s="1"/>
  <c r="Y50" i="9"/>
  <c r="Y65" i="9" s="1"/>
  <c r="Z51" i="9"/>
  <c r="Y54" i="9"/>
  <c r="Y55" i="9" s="1"/>
  <c r="Z196" i="5"/>
  <c r="Y205" i="5"/>
  <c r="T108" i="9"/>
  <c r="T61" i="9" s="1"/>
  <c r="T107" i="9"/>
  <c r="T60" i="9" s="1"/>
  <c r="T109" i="9"/>
  <c r="AA158" i="5"/>
  <c r="AA164" i="5" s="1"/>
  <c r="Z164" i="5"/>
  <c r="X67" i="9"/>
  <c r="X66" i="9"/>
  <c r="X206" i="5"/>
  <c r="AA331" i="5"/>
  <c r="AA362" i="5"/>
  <c r="AA391" i="5" s="1"/>
  <c r="AA153" i="5"/>
  <c r="X203" i="9"/>
  <c r="W56" i="9"/>
  <c r="X57" i="9"/>
  <c r="AA69" i="5"/>
  <c r="AA77" i="5"/>
  <c r="S168" i="9"/>
  <c r="S172" i="9"/>
  <c r="S169" i="9"/>
  <c r="S170" i="9"/>
  <c r="AA79" i="5" l="1"/>
  <c r="AA80" i="5" s="1"/>
  <c r="AA96" i="5" s="1"/>
  <c r="AB77" i="5"/>
  <c r="V47" i="5"/>
  <c r="V85" i="5" s="1"/>
  <c r="AA4" i="5"/>
  <c r="AD38" i="8" s="1"/>
  <c r="AC38" i="8"/>
  <c r="T86" i="5"/>
  <c r="T91" i="5" s="1"/>
  <c r="T92" i="5" s="1"/>
  <c r="S171" i="9"/>
  <c r="AW66" i="1"/>
  <c r="AV67" i="1"/>
  <c r="AV59" i="1"/>
  <c r="AV60" i="1" s="1"/>
  <c r="AV61" i="1" s="1"/>
  <c r="Z8" i="5"/>
  <c r="Y7" i="5"/>
  <c r="Y16" i="5" s="1"/>
  <c r="AB39" i="8" s="1"/>
  <c r="W39" i="5"/>
  <c r="W32" i="5"/>
  <c r="W115" i="9"/>
  <c r="V116" i="9"/>
  <c r="Z43" i="5"/>
  <c r="Z214" i="5" s="1"/>
  <c r="AA2" i="5"/>
  <c r="AA43" i="5" s="1"/>
  <c r="AA214" i="5" s="1"/>
  <c r="U29" i="6"/>
  <c r="U30" i="6" s="1"/>
  <c r="T29" i="6"/>
  <c r="T30" i="6" s="1"/>
  <c r="V84" i="5"/>
  <c r="V48" i="5"/>
  <c r="V82" i="5"/>
  <c r="V41" i="5"/>
  <c r="H737" i="7"/>
  <c r="Q42" i="9"/>
  <c r="Q24" i="9"/>
  <c r="R2" i="9"/>
  <c r="Q122" i="9"/>
  <c r="Q152" i="9" s="1"/>
  <c r="Q182" i="9" s="1"/>
  <c r="Q205" i="9" s="1"/>
  <c r="W38" i="5"/>
  <c r="W31" i="5"/>
  <c r="W33" i="5"/>
  <c r="W40" i="5"/>
  <c r="Z156" i="9"/>
  <c r="AA154" i="9"/>
  <c r="AA156" i="9" s="1"/>
  <c r="R190" i="9"/>
  <c r="S189" i="9"/>
  <c r="X18" i="5"/>
  <c r="X12" i="5"/>
  <c r="X14" i="5"/>
  <c r="X13" i="5"/>
  <c r="X15" i="5"/>
  <c r="X17" i="5"/>
  <c r="X11" i="5"/>
  <c r="AA36" i="8" s="1"/>
  <c r="AA37" i="8" s="1"/>
  <c r="U82" i="5"/>
  <c r="U84" i="5"/>
  <c r="U48" i="5"/>
  <c r="U85" i="5"/>
  <c r="Z36" i="8"/>
  <c r="Z37" i="8" s="1"/>
  <c r="W29" i="5"/>
  <c r="W36" i="5"/>
  <c r="W46" i="5"/>
  <c r="X45" i="5" s="1"/>
  <c r="W30" i="5"/>
  <c r="W37" i="5"/>
  <c r="AU59" i="1"/>
  <c r="AU60" i="1" s="1"/>
  <c r="AU61" i="1" s="1"/>
  <c r="AU67" i="1"/>
  <c r="Y57" i="9"/>
  <c r="X56" i="9"/>
  <c r="T71" i="9"/>
  <c r="T79" i="9"/>
  <c r="T86" i="9"/>
  <c r="U100" i="9"/>
  <c r="AA196" i="5"/>
  <c r="AA205" i="5" s="1"/>
  <c r="Z205" i="5"/>
  <c r="AA51" i="9"/>
  <c r="Z50" i="9"/>
  <c r="Z65" i="9" s="1"/>
  <c r="Z54" i="9"/>
  <c r="Z55" i="9" s="1"/>
  <c r="Z200" i="9"/>
  <c r="Z192" i="9" s="1"/>
  <c r="Y67" i="9"/>
  <c r="Y66" i="9"/>
  <c r="T158" i="9"/>
  <c r="S173" i="9"/>
  <c r="S174" i="9"/>
  <c r="T78" i="9"/>
  <c r="T85" i="9"/>
  <c r="T70" i="9"/>
  <c r="U99" i="9"/>
  <c r="Y206" i="5"/>
  <c r="Y203" i="9"/>
  <c r="AB85" i="5" l="1"/>
  <c r="AB79" i="5"/>
  <c r="AB80" i="5" s="1"/>
  <c r="AB96" i="5" s="1"/>
  <c r="S175" i="9"/>
  <c r="W41" i="5"/>
  <c r="AW67" i="1"/>
  <c r="AX66" i="1"/>
  <c r="AW59" i="1"/>
  <c r="AW60" i="1" s="1"/>
  <c r="AW61" i="1" s="1"/>
  <c r="U94" i="5"/>
  <c r="U86" i="5"/>
  <c r="U91" i="5" s="1"/>
  <c r="X40" i="5"/>
  <c r="X33" i="5"/>
  <c r="AA8" i="5"/>
  <c r="AA7" i="5" s="1"/>
  <c r="AA16" i="5" s="1"/>
  <c r="AD39" i="8" s="1"/>
  <c r="Z7" i="5"/>
  <c r="Z16" i="5" s="1"/>
  <c r="AC39" i="8" s="1"/>
  <c r="X38" i="5"/>
  <c r="X31" i="5"/>
  <c r="S190" i="9"/>
  <c r="T189" i="9"/>
  <c r="U189" i="9" s="1"/>
  <c r="V94" i="5"/>
  <c r="V86" i="5"/>
  <c r="V91" i="5" s="1"/>
  <c r="X29" i="5"/>
  <c r="X46" i="5"/>
  <c r="X36" i="5"/>
  <c r="X39" i="5"/>
  <c r="X32" i="5"/>
  <c r="R42" i="9"/>
  <c r="R24" i="9"/>
  <c r="S2" i="9"/>
  <c r="R122" i="9"/>
  <c r="R152" i="9" s="1"/>
  <c r="R182" i="9" s="1"/>
  <c r="R205" i="9" s="1"/>
  <c r="I737" i="7"/>
  <c r="X115" i="9"/>
  <c r="W116" i="9"/>
  <c r="W47" i="5"/>
  <c r="X37" i="5"/>
  <c r="X30" i="5"/>
  <c r="Y15" i="5"/>
  <c r="Y18" i="5"/>
  <c r="Y11" i="5"/>
  <c r="AB36" i="8" s="1"/>
  <c r="AB37" i="8" s="1"/>
  <c r="Y14" i="5"/>
  <c r="Y12" i="5"/>
  <c r="Y17" i="5"/>
  <c r="Y13" i="5"/>
  <c r="AA200" i="9"/>
  <c r="T72" i="9"/>
  <c r="T75" i="9" s="1"/>
  <c r="T58" i="9"/>
  <c r="T87" i="9"/>
  <c r="T125" i="9"/>
  <c r="T80" i="9"/>
  <c r="U101" i="9"/>
  <c r="U104" i="9" s="1"/>
  <c r="U112" i="9" s="1"/>
  <c r="Z203" i="9"/>
  <c r="Z66" i="9"/>
  <c r="Z67" i="9"/>
  <c r="T159" i="9"/>
  <c r="T161" i="9"/>
  <c r="T167" i="9" s="1"/>
  <c r="AA54" i="9"/>
  <c r="AA55" i="9" s="1"/>
  <c r="AA50" i="9"/>
  <c r="AA65" i="9" s="1"/>
  <c r="V189" i="9"/>
  <c r="Z206" i="5"/>
  <c r="Z57" i="9"/>
  <c r="Y56" i="9"/>
  <c r="AA206" i="5"/>
  <c r="AB86" i="5" l="1"/>
  <c r="AB91" i="5" s="1"/>
  <c r="AB94" i="5"/>
  <c r="G94" i="12"/>
  <c r="T172" i="9"/>
  <c r="T169" i="9"/>
  <c r="T168" i="9"/>
  <c r="U167" i="9"/>
  <c r="AX67" i="1"/>
  <c r="AY66" i="1"/>
  <c r="AZ66" i="1" s="1"/>
  <c r="BA66" i="1" s="1"/>
  <c r="BB66" i="1" s="1"/>
  <c r="BC66" i="1" s="1"/>
  <c r="AX59" i="1"/>
  <c r="AX60" i="1" s="1"/>
  <c r="AX61" i="1" s="1"/>
  <c r="Y30" i="5"/>
  <c r="Y37" i="5"/>
  <c r="Y40" i="5"/>
  <c r="Y33" i="5"/>
  <c r="W82" i="5"/>
  <c r="W84" i="5"/>
  <c r="W48" i="5"/>
  <c r="W85" i="5"/>
  <c r="AA17" i="5"/>
  <c r="AA11" i="5"/>
  <c r="AD36" i="8" s="1"/>
  <c r="AD37" i="8" s="1"/>
  <c r="AA18" i="5"/>
  <c r="AA13" i="5"/>
  <c r="AA12" i="5"/>
  <c r="AA14" i="5"/>
  <c r="AA15" i="5"/>
  <c r="Y32" i="5"/>
  <c r="Y39" i="5"/>
  <c r="J737" i="7"/>
  <c r="T2" i="9"/>
  <c r="S42" i="9"/>
  <c r="S24" i="9"/>
  <c r="S122" i="9"/>
  <c r="S152" i="9" s="1"/>
  <c r="S182" i="9" s="1"/>
  <c r="S205" i="9" s="1"/>
  <c r="Y31" i="5"/>
  <c r="Y38" i="5"/>
  <c r="Y46" i="5"/>
  <c r="Z45" i="5" s="1"/>
  <c r="Y36" i="5"/>
  <c r="Y29" i="5"/>
  <c r="X116" i="9"/>
  <c r="Y115" i="9"/>
  <c r="X41" i="5"/>
  <c r="Y45" i="5"/>
  <c r="X47" i="5"/>
  <c r="Z14" i="5"/>
  <c r="Z13" i="5"/>
  <c r="Z11" i="5"/>
  <c r="AC36" i="8" s="1"/>
  <c r="AC37" i="8" s="1"/>
  <c r="Z17" i="5"/>
  <c r="Z12" i="5"/>
  <c r="Z18" i="5"/>
  <c r="Z15" i="5"/>
  <c r="AA203" i="9"/>
  <c r="W189" i="9"/>
  <c r="U109" i="9"/>
  <c r="U62" i="9" s="1"/>
  <c r="U87" i="9" s="1"/>
  <c r="U107" i="9"/>
  <c r="U60" i="9" s="1"/>
  <c r="U108" i="9"/>
  <c r="U61" i="9" s="1"/>
  <c r="AA57" i="9"/>
  <c r="AA56" i="9" s="1"/>
  <c r="Z56" i="9"/>
  <c r="AA66" i="9"/>
  <c r="AA67" i="9"/>
  <c r="AA192" i="9"/>
  <c r="U124" i="9"/>
  <c r="T126" i="9"/>
  <c r="T170" i="9" s="1"/>
  <c r="T171" i="9" s="1"/>
  <c r="T193" i="9"/>
  <c r="T190" i="9"/>
  <c r="R43" i="6" l="1"/>
  <c r="BD66" i="1"/>
  <c r="BC67" i="1"/>
  <c r="BC59" i="1"/>
  <c r="BC60" i="1" s="1"/>
  <c r="BC61" i="1" s="1"/>
  <c r="T174" i="9"/>
  <c r="T175" i="9" s="1"/>
  <c r="T173" i="9"/>
  <c r="V167" i="9"/>
  <c r="U172" i="9"/>
  <c r="U173" i="9" s="1"/>
  <c r="BB67" i="1"/>
  <c r="BB59" i="1"/>
  <c r="BB60" i="1" s="1"/>
  <c r="BB61" i="1" s="1"/>
  <c r="BA67" i="1"/>
  <c r="BA59" i="1"/>
  <c r="BA60" i="1" s="1"/>
  <c r="BA61" i="1" s="1"/>
  <c r="AZ67" i="1"/>
  <c r="AZ59" i="1"/>
  <c r="AZ60" i="1" s="1"/>
  <c r="AZ61" i="1" s="1"/>
  <c r="AY67" i="1"/>
  <c r="AY59" i="1"/>
  <c r="AY60" i="1" s="1"/>
  <c r="AY61" i="1" s="1"/>
  <c r="T112" i="5"/>
  <c r="X48" i="5"/>
  <c r="X85" i="5"/>
  <c r="X82" i="5"/>
  <c r="X84" i="5"/>
  <c r="Y116" i="9"/>
  <c r="Z115" i="9"/>
  <c r="AA37" i="5"/>
  <c r="AA30" i="5"/>
  <c r="Z40" i="5"/>
  <c r="Z33" i="5"/>
  <c r="Z29" i="5"/>
  <c r="Z46" i="5"/>
  <c r="Z36" i="5"/>
  <c r="Y47" i="5"/>
  <c r="AA38" i="5"/>
  <c r="AA31" i="5"/>
  <c r="Z31" i="5"/>
  <c r="Z38" i="5"/>
  <c r="L737" i="7"/>
  <c r="T42" i="9"/>
  <c r="T24" i="9"/>
  <c r="T122" i="9"/>
  <c r="T152" i="9" s="1"/>
  <c r="T182" i="9" s="1"/>
  <c r="T205" i="9" s="1"/>
  <c r="U2" i="9"/>
  <c r="AA40" i="5"/>
  <c r="AA33" i="5"/>
  <c r="Z30" i="5"/>
  <c r="Z37" i="5"/>
  <c r="Z39" i="5"/>
  <c r="Z32" i="5"/>
  <c r="Y41" i="5"/>
  <c r="AA39" i="5"/>
  <c r="AA32" i="5"/>
  <c r="AA29" i="5"/>
  <c r="AA36" i="5"/>
  <c r="AA46" i="5"/>
  <c r="W86" i="5"/>
  <c r="W91" i="5" s="1"/>
  <c r="W94" i="5"/>
  <c r="X189" i="9"/>
  <c r="U79" i="9"/>
  <c r="U86" i="9"/>
  <c r="U71" i="9"/>
  <c r="V100" i="9"/>
  <c r="U70" i="9"/>
  <c r="V99" i="9"/>
  <c r="U85" i="9"/>
  <c r="U78" i="9"/>
  <c r="T127" i="9"/>
  <c r="U158" i="9"/>
  <c r="BD67" i="1" l="1"/>
  <c r="BE66" i="1"/>
  <c r="BF66" i="1" s="1"/>
  <c r="BG66" i="1" s="1"/>
  <c r="BD59" i="1"/>
  <c r="BD60" i="1" s="1"/>
  <c r="BD61" i="1" s="1"/>
  <c r="W167" i="9"/>
  <c r="V172" i="9"/>
  <c r="V173" i="9" s="1"/>
  <c r="Z41" i="5"/>
  <c r="X94" i="5"/>
  <c r="X86" i="5"/>
  <c r="X91" i="5" s="1"/>
  <c r="T113" i="5"/>
  <c r="T115" i="5"/>
  <c r="AA45" i="5"/>
  <c r="AA47" i="5" s="1"/>
  <c r="Z47" i="5"/>
  <c r="AA41" i="5"/>
  <c r="Z116" i="9"/>
  <c r="AA115" i="9"/>
  <c r="AA116" i="9" s="1"/>
  <c r="V2" i="9"/>
  <c r="U42" i="9"/>
  <c r="U24" i="9"/>
  <c r="U122" i="9"/>
  <c r="U152" i="9" s="1"/>
  <c r="U182" i="9" s="1"/>
  <c r="U205" i="9" s="1"/>
  <c r="M737" i="7"/>
  <c r="Y82" i="5"/>
  <c r="Y84" i="5"/>
  <c r="Y48" i="5"/>
  <c r="Y85" i="5"/>
  <c r="T216" i="5"/>
  <c r="T117" i="5"/>
  <c r="T228" i="5"/>
  <c r="P5" i="7"/>
  <c r="U159" i="9"/>
  <c r="U161" i="9"/>
  <c r="Y189" i="9"/>
  <c r="V101" i="9"/>
  <c r="V104" i="9" s="1"/>
  <c r="V112" i="9" s="1"/>
  <c r="U125" i="9"/>
  <c r="U58" i="9"/>
  <c r="U80" i="9"/>
  <c r="U72" i="9"/>
  <c r="U75" i="9" s="1"/>
  <c r="BG67" i="1" l="1"/>
  <c r="BG59" i="1"/>
  <c r="BG60" i="1" s="1"/>
  <c r="BG61" i="1" s="1"/>
  <c r="BH66" i="1"/>
  <c r="BF67" i="1"/>
  <c r="BF59" i="1"/>
  <c r="BF60" i="1" s="1"/>
  <c r="BF61" i="1" s="1"/>
  <c r="BE67" i="1"/>
  <c r="BE59" i="1"/>
  <c r="BE60" i="1" s="1"/>
  <c r="BE61" i="1" s="1"/>
  <c r="W172" i="9"/>
  <c r="W173" i="9" s="1"/>
  <c r="X167" i="9"/>
  <c r="W139" i="8"/>
  <c r="E188" i="8" s="1"/>
  <c r="I188" i="8" s="1"/>
  <c r="T238" i="5"/>
  <c r="W42" i="8"/>
  <c r="Y94" i="5"/>
  <c r="Y86" i="5"/>
  <c r="Y91" i="5" s="1"/>
  <c r="Z48" i="5"/>
  <c r="Z85" i="5"/>
  <c r="Z82" i="5"/>
  <c r="Z84" i="5"/>
  <c r="N737" i="7"/>
  <c r="W2" i="9"/>
  <c r="V122" i="9"/>
  <c r="V152" i="9" s="1"/>
  <c r="V182" i="9" s="1"/>
  <c r="V205" i="9" s="1"/>
  <c r="V24" i="9"/>
  <c r="V42" i="9"/>
  <c r="AA82" i="5"/>
  <c r="AA84" i="5"/>
  <c r="AA48" i="5"/>
  <c r="AA85" i="5"/>
  <c r="P10" i="7"/>
  <c r="P13" i="7"/>
  <c r="W131" i="8"/>
  <c r="W40" i="8"/>
  <c r="H723" i="7"/>
  <c r="I723" i="7" s="1"/>
  <c r="V124" i="9"/>
  <c r="U193" i="9"/>
  <c r="U190" i="9"/>
  <c r="U126" i="9"/>
  <c r="Z189" i="9"/>
  <c r="V108" i="9"/>
  <c r="V61" i="9" s="1"/>
  <c r="V109" i="9"/>
  <c r="V107" i="9"/>
  <c r="V60" i="9" s="1"/>
  <c r="BI66" i="1" l="1"/>
  <c r="BH59" i="1"/>
  <c r="BH60" i="1" s="1"/>
  <c r="BH61" i="1" s="1"/>
  <c r="BH67" i="1"/>
  <c r="Y167" i="9"/>
  <c r="X172" i="9"/>
  <c r="X173" i="9" s="1"/>
  <c r="AA86" i="5"/>
  <c r="AA91" i="5" s="1"/>
  <c r="AA94" i="5"/>
  <c r="X2" i="9"/>
  <c r="W24" i="9"/>
  <c r="W42" i="9"/>
  <c r="W122" i="9"/>
  <c r="W152" i="9" s="1"/>
  <c r="W182" i="9" s="1"/>
  <c r="W205" i="9" s="1"/>
  <c r="N24" i="7"/>
  <c r="P18" i="7"/>
  <c r="N26" i="7"/>
  <c r="N25" i="7"/>
  <c r="N28" i="7"/>
  <c r="N27" i="7"/>
  <c r="Z86" i="5"/>
  <c r="Z91" i="5" s="1"/>
  <c r="Z94" i="5"/>
  <c r="AA189" i="9"/>
  <c r="V78" i="9"/>
  <c r="V85" i="9"/>
  <c r="V70" i="9"/>
  <c r="W99" i="9"/>
  <c r="V158" i="9"/>
  <c r="V62" i="9"/>
  <c r="V86" i="9"/>
  <c r="V79" i="9"/>
  <c r="V71" i="9"/>
  <c r="W100" i="9"/>
  <c r="U127" i="9"/>
  <c r="U170" i="9"/>
  <c r="U171" i="9" s="1"/>
  <c r="U174" i="9"/>
  <c r="U175" i="9" s="1"/>
  <c r="T148" i="9"/>
  <c r="T4" i="9"/>
  <c r="T150" i="9"/>
  <c r="T145" i="9"/>
  <c r="T162" i="9"/>
  <c r="BI59" i="1" l="1"/>
  <c r="BI60" i="1" s="1"/>
  <c r="BI61" i="1" s="1"/>
  <c r="BI67" i="1"/>
  <c r="Y172" i="9"/>
  <c r="Y173" i="9" s="1"/>
  <c r="Z167" i="9"/>
  <c r="I259" i="7"/>
  <c r="T255" i="5"/>
  <c r="T122" i="5" s="1"/>
  <c r="N20" i="6"/>
  <c r="X42" i="9"/>
  <c r="X24" i="9"/>
  <c r="X122" i="9"/>
  <c r="X152" i="9" s="1"/>
  <c r="X182" i="9" s="1"/>
  <c r="X205" i="9" s="1"/>
  <c r="Y2" i="9"/>
  <c r="AY292" i="1"/>
  <c r="T7" i="9"/>
  <c r="T179" i="9"/>
  <c r="T164" i="9"/>
  <c r="T165" i="9" s="1"/>
  <c r="T178" i="9"/>
  <c r="V87" i="9"/>
  <c r="W101" i="9"/>
  <c r="W104" i="9" s="1"/>
  <c r="W112" i="9" s="1"/>
  <c r="V80" i="9"/>
  <c r="V125" i="9"/>
  <c r="V72" i="9"/>
  <c r="V75" i="9" s="1"/>
  <c r="V58" i="9"/>
  <c r="V159" i="9"/>
  <c r="V161" i="9"/>
  <c r="T219" i="5"/>
  <c r="T220" i="5" s="1"/>
  <c r="U220" i="5" s="1"/>
  <c r="T37" i="9"/>
  <c r="T5" i="9"/>
  <c r="L738" i="7"/>
  <c r="F790" i="7"/>
  <c r="T188" i="9"/>
  <c r="T13" i="9"/>
  <c r="L748" i="7" s="1"/>
  <c r="T202" i="9"/>
  <c r="AA167" i="9" l="1"/>
  <c r="Z172" i="9"/>
  <c r="Z173" i="9" s="1"/>
  <c r="T123" i="5"/>
  <c r="T246" i="5"/>
  <c r="T126" i="5"/>
  <c r="T128" i="5" s="1"/>
  <c r="T129" i="5" s="1"/>
  <c r="H724" i="7"/>
  <c r="I724" i="7" s="1"/>
  <c r="W134" i="8"/>
  <c r="T225" i="5"/>
  <c r="I271" i="7"/>
  <c r="I261" i="7"/>
  <c r="I273" i="7" s="1"/>
  <c r="Y42" i="9"/>
  <c r="Y122" i="9"/>
  <c r="Y152" i="9" s="1"/>
  <c r="Y182" i="9" s="1"/>
  <c r="Y205" i="9" s="1"/>
  <c r="Y24" i="9"/>
  <c r="Z2" i="9"/>
  <c r="T272" i="5"/>
  <c r="W45" i="8"/>
  <c r="W46" i="8" s="1"/>
  <c r="W47" i="8" s="1"/>
  <c r="T270" i="5"/>
  <c r="T268" i="5"/>
  <c r="W152" i="8"/>
  <c r="W22" i="8"/>
  <c r="T264" i="5"/>
  <c r="T273" i="5"/>
  <c r="W108" i="9"/>
  <c r="W61" i="9" s="1"/>
  <c r="W109" i="9"/>
  <c r="W107" i="9"/>
  <c r="W60" i="9" s="1"/>
  <c r="F808" i="7"/>
  <c r="F795" i="7"/>
  <c r="W133" i="8"/>
  <c r="L739" i="7"/>
  <c r="F791" i="7"/>
  <c r="W124" i="9"/>
  <c r="V193" i="9"/>
  <c r="V190" i="9"/>
  <c r="V126" i="9"/>
  <c r="L741" i="7"/>
  <c r="F792" i="7"/>
  <c r="T9" i="9"/>
  <c r="L743" i="7" s="1"/>
  <c r="T8" i="9"/>
  <c r="L742" i="7" s="1"/>
  <c r="T15" i="9"/>
  <c r="T38" i="9"/>
  <c r="AA172" i="9" l="1"/>
  <c r="AA173" i="9" s="1"/>
  <c r="AB167" i="9"/>
  <c r="T40" i="9"/>
  <c r="G1013" i="7" s="1"/>
  <c r="H1021" i="7"/>
  <c r="H1023" i="7" s="1"/>
  <c r="H1024" i="7" s="1"/>
  <c r="T276" i="5"/>
  <c r="W147" i="8"/>
  <c r="I189" i="8" s="1"/>
  <c r="W44" i="8"/>
  <c r="W48" i="8" s="1"/>
  <c r="W50" i="8" s="1"/>
  <c r="T267" i="5"/>
  <c r="T274" i="5" s="1"/>
  <c r="X134" i="8"/>
  <c r="V220" i="5"/>
  <c r="H725" i="7"/>
  <c r="T226" i="5"/>
  <c r="H726" i="7" s="1"/>
  <c r="AA2" i="9"/>
  <c r="Z42" i="9"/>
  <c r="Z122" i="9"/>
  <c r="Z152" i="9" s="1"/>
  <c r="Z182" i="9" s="1"/>
  <c r="Z205" i="9" s="1"/>
  <c r="Z24" i="9"/>
  <c r="AY167" i="1"/>
  <c r="F796" i="7"/>
  <c r="F811" i="7" s="1"/>
  <c r="F793" i="7"/>
  <c r="F809" i="7"/>
  <c r="V127" i="9"/>
  <c r="V170" i="9"/>
  <c r="V171" i="9" s="1"/>
  <c r="V174" i="9"/>
  <c r="V175" i="9" s="1"/>
  <c r="W18" i="8"/>
  <c r="W41" i="8" s="1"/>
  <c r="T223" i="5"/>
  <c r="T222" i="5"/>
  <c r="W137" i="8"/>
  <c r="I255" i="7"/>
  <c r="T224" i="5"/>
  <c r="T252" i="5"/>
  <c r="M210" i="7" s="1"/>
  <c r="T253" i="5"/>
  <c r="T256" i="5"/>
  <c r="W78" i="9"/>
  <c r="W85" i="9"/>
  <c r="X99" i="9"/>
  <c r="W70" i="9"/>
  <c r="T16" i="9"/>
  <c r="L754" i="7" s="1"/>
  <c r="T194" i="9"/>
  <c r="T20" i="9"/>
  <c r="L753" i="7"/>
  <c r="T17" i="9"/>
  <c r="L755" i="7" s="1"/>
  <c r="W158" i="9"/>
  <c r="W62" i="9"/>
  <c r="T207" i="9"/>
  <c r="T209" i="9" s="1"/>
  <c r="T210" i="9" s="1"/>
  <c r="T34" i="9"/>
  <c r="T231" i="5"/>
  <c r="W79" i="9"/>
  <c r="W71" i="9"/>
  <c r="W86" i="9"/>
  <c r="X100" i="9"/>
  <c r="AB172" i="9" l="1"/>
  <c r="AB170" i="9"/>
  <c r="I725" i="7"/>
  <c r="W220" i="5"/>
  <c r="Y134" i="8"/>
  <c r="T232" i="5"/>
  <c r="U232" i="5" s="1"/>
  <c r="AA122" i="9"/>
  <c r="AA152" i="9" s="1"/>
  <c r="AA182" i="9" s="1"/>
  <c r="AA205" i="9" s="1"/>
  <c r="AA42" i="9"/>
  <c r="AA24" i="9"/>
  <c r="M211" i="7"/>
  <c r="W72" i="9"/>
  <c r="W75" i="9" s="1"/>
  <c r="W58" i="9"/>
  <c r="W87" i="9"/>
  <c r="W125" i="9"/>
  <c r="W80" i="9"/>
  <c r="X101" i="9"/>
  <c r="X104" i="9" s="1"/>
  <c r="X112" i="9" s="1"/>
  <c r="I256" i="7"/>
  <c r="I268" i="7"/>
  <c r="W141" i="8"/>
  <c r="E190" i="8" s="1"/>
  <c r="I190" i="8" s="1"/>
  <c r="T279" i="5"/>
  <c r="T241" i="5"/>
  <c r="W159" i="9"/>
  <c r="W161" i="9"/>
  <c r="T22" i="9"/>
  <c r="T21" i="9"/>
  <c r="T195" i="9"/>
  <c r="W20" i="8"/>
  <c r="T288" i="5"/>
  <c r="AB173" i="9" l="1"/>
  <c r="AB174" i="9"/>
  <c r="X220" i="5"/>
  <c r="Z134" i="8"/>
  <c r="T242" i="5"/>
  <c r="W142" i="8"/>
  <c r="E191" i="8" s="1"/>
  <c r="T236" i="5"/>
  <c r="X109" i="9"/>
  <c r="X108" i="9"/>
  <c r="X61" i="9" s="1"/>
  <c r="X107" i="9"/>
  <c r="X60" i="9" s="1"/>
  <c r="T343" i="5"/>
  <c r="W33" i="8"/>
  <c r="X124" i="9"/>
  <c r="W193" i="9"/>
  <c r="W190" i="9"/>
  <c r="W126" i="9"/>
  <c r="T291" i="5"/>
  <c r="T281" i="5"/>
  <c r="K1027" i="7" s="1"/>
  <c r="T234" i="5"/>
  <c r="W19" i="8"/>
  <c r="W23" i="8" s="1"/>
  <c r="W24" i="8" s="1"/>
  <c r="N19" i="6"/>
  <c r="W144" i="8"/>
  <c r="W43" i="8"/>
  <c r="W49" i="8" s="1"/>
  <c r="W51" i="8" s="1"/>
  <c r="I257" i="7"/>
  <c r="T243" i="5"/>
  <c r="AY150" i="1"/>
  <c r="AZ210" i="1" l="1"/>
  <c r="BA210" i="1"/>
  <c r="Y220" i="5"/>
  <c r="AA134" i="8"/>
  <c r="T244" i="5"/>
  <c r="G1045" i="7" s="1"/>
  <c r="H727" i="7"/>
  <c r="T365" i="5"/>
  <c r="U242" i="5"/>
  <c r="X142" i="8"/>
  <c r="V232" i="5"/>
  <c r="AY158" i="1"/>
  <c r="DJ150" i="1"/>
  <c r="AY210" i="1"/>
  <c r="AY172" i="1"/>
  <c r="T282" i="5"/>
  <c r="M212" i="7" s="1"/>
  <c r="W109" i="8"/>
  <c r="W127" i="9"/>
  <c r="W170" i="9"/>
  <c r="W171" i="9" s="1"/>
  <c r="W174" i="9"/>
  <c r="W175" i="9" s="1"/>
  <c r="X78" i="9"/>
  <c r="X70" i="9"/>
  <c r="X85" i="9"/>
  <c r="Y99" i="9"/>
  <c r="X71" i="9"/>
  <c r="X79" i="9"/>
  <c r="X86" i="9"/>
  <c r="Y100" i="9"/>
  <c r="DJ151" i="1"/>
  <c r="I258" i="7"/>
  <c r="I269" i="7"/>
  <c r="I264" i="7"/>
  <c r="X158" i="9"/>
  <c r="X62" i="9"/>
  <c r="Z220" i="5" l="1"/>
  <c r="AB134" i="8"/>
  <c r="V242" i="5"/>
  <c r="W232" i="5"/>
  <c r="Y142" i="8"/>
  <c r="H728" i="7"/>
  <c r="I727" i="7"/>
  <c r="AY160" i="1"/>
  <c r="X80" i="9"/>
  <c r="X87" i="9"/>
  <c r="X72" i="9"/>
  <c r="X75" i="9" s="1"/>
  <c r="X58" i="9"/>
  <c r="Y101" i="9"/>
  <c r="Y104" i="9" s="1"/>
  <c r="Y112" i="9" s="1"/>
  <c r="X125" i="9"/>
  <c r="X159" i="9"/>
  <c r="X161" i="9"/>
  <c r="I265" i="7"/>
  <c r="I275" i="7"/>
  <c r="AA220" i="5" l="1"/>
  <c r="AC134" i="8"/>
  <c r="W242" i="5"/>
  <c r="X232" i="5"/>
  <c r="AA142" i="8" s="1"/>
  <c r="Z142" i="8"/>
  <c r="Y109" i="9"/>
  <c r="Y107" i="9"/>
  <c r="Y60" i="9" s="1"/>
  <c r="Y108" i="9"/>
  <c r="Y61" i="9" s="1"/>
  <c r="Y124" i="9"/>
  <c r="X193" i="9"/>
  <c r="X190" i="9"/>
  <c r="X126" i="9"/>
  <c r="AD134" i="8" l="1"/>
  <c r="AB220" i="5"/>
  <c r="AE134" i="8" s="1"/>
  <c r="Y232" i="5"/>
  <c r="AB142" i="8" s="1"/>
  <c r="X242" i="5"/>
  <c r="Y79" i="9"/>
  <c r="Y71" i="9"/>
  <c r="Y86" i="9"/>
  <c r="Z100" i="9"/>
  <c r="X127" i="9"/>
  <c r="X170" i="9"/>
  <c r="X171" i="9" s="1"/>
  <c r="X174" i="9"/>
  <c r="X175" i="9" s="1"/>
  <c r="Y70" i="9"/>
  <c r="Z99" i="9"/>
  <c r="Y85" i="9"/>
  <c r="Y78" i="9"/>
  <c r="Y158" i="9"/>
  <c r="Y62" i="9"/>
  <c r="Y242" i="5" l="1"/>
  <c r="Z232" i="5"/>
  <c r="AC142" i="8" s="1"/>
  <c r="Y80" i="9"/>
  <c r="Y58" i="9"/>
  <c r="Y87" i="9"/>
  <c r="Y125" i="9"/>
  <c r="Z101" i="9"/>
  <c r="Z104" i="9" s="1"/>
  <c r="Z112" i="9" s="1"/>
  <c r="Y72" i="9"/>
  <c r="Y159" i="9"/>
  <c r="Y161" i="9"/>
  <c r="Y75" i="9"/>
  <c r="Z242" i="5" l="1"/>
  <c r="AA232" i="5"/>
  <c r="Z108" i="9"/>
  <c r="Z61" i="9" s="1"/>
  <c r="Z109" i="9"/>
  <c r="Z107" i="9"/>
  <c r="Z60" i="9" s="1"/>
  <c r="Z124" i="9"/>
  <c r="Y193" i="9"/>
  <c r="Y190" i="9"/>
  <c r="Y126" i="9"/>
  <c r="AD142" i="8" l="1"/>
  <c r="AB232" i="5"/>
  <c r="AA242" i="5"/>
  <c r="Z85" i="9"/>
  <c r="Z70" i="9"/>
  <c r="AA99" i="9"/>
  <c r="Z78" i="9"/>
  <c r="Z158" i="9"/>
  <c r="Z62" i="9"/>
  <c r="Y127" i="9"/>
  <c r="Y170" i="9"/>
  <c r="Y171" i="9" s="1"/>
  <c r="Y174" i="9"/>
  <c r="Y175" i="9" s="1"/>
  <c r="Z71" i="9"/>
  <c r="Z79" i="9"/>
  <c r="Z86" i="9"/>
  <c r="AA100" i="9"/>
  <c r="AB242" i="5" l="1"/>
  <c r="AE142" i="8"/>
  <c r="Z80" i="9"/>
  <c r="Z72" i="9"/>
  <c r="Z75" i="9" s="1"/>
  <c r="Z87" i="9"/>
  <c r="Z125" i="9"/>
  <c r="AA101" i="9"/>
  <c r="AA104" i="9" s="1"/>
  <c r="AA112" i="9" s="1"/>
  <c r="Z58" i="9"/>
  <c r="Z159" i="9"/>
  <c r="Z161" i="9"/>
  <c r="AA109" i="9" l="1"/>
  <c r="AA108" i="9"/>
  <c r="AA61" i="9" s="1"/>
  <c r="AA107" i="9"/>
  <c r="AA60" i="9" s="1"/>
  <c r="AA124" i="9"/>
  <c r="Z193" i="9"/>
  <c r="Z190" i="9"/>
  <c r="Z126" i="9"/>
  <c r="AA78" i="9" l="1"/>
  <c r="AA85" i="9"/>
  <c r="AA70" i="9"/>
  <c r="Z127" i="9"/>
  <c r="Z170" i="9"/>
  <c r="Z171" i="9" s="1"/>
  <c r="Z174" i="9"/>
  <c r="Z175" i="9" s="1"/>
  <c r="AA86" i="9"/>
  <c r="AA71" i="9"/>
  <c r="AA79" i="9"/>
  <c r="AA158" i="9"/>
  <c r="AA62" i="9"/>
  <c r="AA159" i="9" l="1"/>
  <c r="AA161" i="9"/>
  <c r="AA58" i="9"/>
  <c r="AA72" i="9"/>
  <c r="AA80" i="9"/>
  <c r="AA125" i="9"/>
  <c r="AA87" i="9"/>
  <c r="AA75" i="9"/>
  <c r="AA193" i="9" l="1"/>
  <c r="AA190" i="9"/>
  <c r="AA126" i="9"/>
  <c r="AA127" i="9" l="1"/>
  <c r="AA170" i="9"/>
  <c r="AA174" i="9"/>
  <c r="AA175" i="9" l="1"/>
  <c r="AB175" i="9"/>
  <c r="AA171" i="9"/>
  <c r="AB171" i="9"/>
  <c r="AS264" i="1"/>
  <c r="AS256" i="1" s="1"/>
  <c r="AT264" i="1"/>
  <c r="AU264" i="1"/>
  <c r="AS269" i="1"/>
  <c r="AT269" i="1"/>
  <c r="AU269" i="1"/>
  <c r="AS280" i="1"/>
  <c r="AT280" i="1"/>
  <c r="AU280" i="1"/>
  <c r="AV280" i="1"/>
  <c r="AS257" i="1" l="1"/>
  <c r="AW257" i="1"/>
  <c r="AS276" i="1"/>
  <c r="AT276" i="1"/>
  <c r="AV256" i="1"/>
  <c r="AU276" i="1"/>
  <c r="AV276" i="1"/>
  <c r="AU256" i="1"/>
  <c r="AT256" i="1"/>
  <c r="AT257" i="1" l="1"/>
  <c r="AX257" i="1"/>
  <c r="AV257" i="1"/>
  <c r="AZ257" i="1"/>
  <c r="AU257" i="1"/>
  <c r="AY257" i="1"/>
  <c r="T189" i="5"/>
  <c r="W28" i="8"/>
  <c r="W110" i="8"/>
  <c r="T296" i="5"/>
  <c r="T302" i="5" s="1"/>
  <c r="W111" i="8"/>
  <c r="T305" i="5"/>
  <c r="T320" i="5" s="1"/>
  <c r="T324" i="5"/>
  <c r="N13" i="6"/>
  <c r="N15" i="6" s="1"/>
  <c r="N21" i="6"/>
  <c r="N22" i="6"/>
  <c r="N25" i="6" s="1"/>
  <c r="N42" i="6" s="1"/>
  <c r="N41" i="6" s="1"/>
  <c r="N35" i="6" l="1"/>
  <c r="N38" i="6"/>
  <c r="N39" i="6" s="1"/>
  <c r="N46" i="6"/>
  <c r="N51" i="6" s="1"/>
  <c r="N36" i="6"/>
  <c r="W29" i="8"/>
  <c r="W30" i="8" s="1"/>
  <c r="N44" i="6"/>
  <c r="N48" i="6"/>
  <c r="L215" i="7" s="1"/>
  <c r="T304" i="5"/>
  <c r="U321" i="5" s="1"/>
  <c r="W27" i="8"/>
  <c r="T294" i="5"/>
  <c r="U294" i="5" s="1"/>
  <c r="W7" i="8"/>
  <c r="W31" i="8"/>
  <c r="W122" i="8"/>
  <c r="T356" i="5" l="1"/>
  <c r="T357" i="5" s="1"/>
  <c r="W14" i="8"/>
  <c r="W15" i="8" s="1"/>
  <c r="V294" i="5"/>
  <c r="W25" i="8"/>
  <c r="W119" i="8"/>
  <c r="W118" i="8" s="1"/>
  <c r="W114" i="8" s="1"/>
  <c r="W294" i="5" l="1"/>
  <c r="X294" i="5" l="1"/>
  <c r="Y294" i="5" l="1"/>
  <c r="Z294" i="5" l="1"/>
  <c r="AA294" i="5" l="1"/>
  <c r="AB294" i="5" s="1"/>
  <c r="U57" i="5"/>
  <c r="U59" i="5" s="1"/>
  <c r="U60" i="5" s="1"/>
  <c r="V57" i="5" l="1"/>
  <c r="V59" i="5" l="1"/>
  <c r="W57" i="5"/>
  <c r="X57" i="5" l="1"/>
  <c r="W59" i="5"/>
  <c r="V60" i="5"/>
  <c r="W60" i="5" l="1"/>
  <c r="Y57" i="5"/>
  <c r="X59" i="5"/>
  <c r="Y59" i="5" l="1"/>
  <c r="Z57" i="5"/>
  <c r="X60" i="5"/>
  <c r="Z59" i="5" l="1"/>
  <c r="AA57" i="5"/>
  <c r="AB57" i="5" s="1"/>
  <c r="AB59" i="5" s="1"/>
  <c r="Y60" i="5"/>
  <c r="AA59" i="5" l="1"/>
  <c r="AB60" i="5" s="1"/>
  <c r="Z60" i="5"/>
  <c r="AA60" i="5" l="1"/>
  <c r="AY143" i="1"/>
  <c r="AY144" i="1" s="1"/>
  <c r="AY162" i="1" l="1"/>
  <c r="AY298" i="1"/>
  <c r="V52" i="8"/>
  <c r="T51" i="5"/>
  <c r="T54" i="5"/>
  <c r="T56" i="5"/>
  <c r="T62" i="5"/>
  <c r="T64" i="5" s="1"/>
  <c r="T63" i="5" l="1"/>
  <c r="T98" i="5"/>
  <c r="T99" i="5" s="1"/>
  <c r="U99" i="5" s="1"/>
  <c r="U98" i="5" s="1"/>
  <c r="U62" i="5" s="1"/>
  <c r="T103" i="5"/>
  <c r="T104" i="5" s="1"/>
  <c r="T65" i="5"/>
  <c r="AY297" i="1"/>
  <c r="U101" i="5" l="1"/>
  <c r="T100" i="5"/>
  <c r="V99" i="5"/>
  <c r="V101" i="5" s="1"/>
  <c r="T101" i="5"/>
  <c r="T102" i="5" s="1"/>
  <c r="U50" i="5"/>
  <c r="U63" i="5"/>
  <c r="U64" i="5"/>
  <c r="V98" i="5" l="1"/>
  <c r="V62" i="5" s="1"/>
  <c r="V63" i="5" s="1"/>
  <c r="W99" i="5"/>
  <c r="W98" i="5" s="1"/>
  <c r="W62" i="5" s="1"/>
  <c r="V102" i="5"/>
  <c r="U102" i="5"/>
  <c r="U103" i="5"/>
  <c r="U65" i="5"/>
  <c r="U51" i="5"/>
  <c r="U54" i="5"/>
  <c r="U56" i="5"/>
  <c r="W52" i="8"/>
  <c r="V50" i="5" l="1"/>
  <c r="V51" i="5" s="1"/>
  <c r="W101" i="5"/>
  <c r="W102" i="5" s="1"/>
  <c r="V64" i="5"/>
  <c r="V65" i="5" s="1"/>
  <c r="X99" i="5"/>
  <c r="X101" i="5" s="1"/>
  <c r="U107" i="5"/>
  <c r="U104" i="5"/>
  <c r="W50" i="5"/>
  <c r="W63" i="5"/>
  <c r="W64" i="5"/>
  <c r="X52" i="8" l="1"/>
  <c r="V103" i="5"/>
  <c r="V104" i="5" s="1"/>
  <c r="V56" i="5"/>
  <c r="V54" i="5"/>
  <c r="X102" i="5"/>
  <c r="Y99" i="5"/>
  <c r="Y101" i="5" s="1"/>
  <c r="Y102" i="5" s="1"/>
  <c r="X98" i="5"/>
  <c r="X62" i="5" s="1"/>
  <c r="X63" i="5" s="1"/>
  <c r="W51" i="5"/>
  <c r="W54" i="5"/>
  <c r="W56" i="5"/>
  <c r="Y52" i="8"/>
  <c r="W65" i="5"/>
  <c r="W103" i="5"/>
  <c r="U112" i="5"/>
  <c r="U108" i="5"/>
  <c r="U116" i="5"/>
  <c r="V107" i="5" l="1"/>
  <c r="V108" i="5" s="1"/>
  <c r="Y98" i="5"/>
  <c r="Y62" i="5" s="1"/>
  <c r="Y63" i="5" s="1"/>
  <c r="Z99" i="5"/>
  <c r="AA99" i="5" s="1"/>
  <c r="AB99" i="5" s="1"/>
  <c r="X50" i="5"/>
  <c r="Z52" i="8" s="1"/>
  <c r="X64" i="5"/>
  <c r="X103" i="5" s="1"/>
  <c r="W107" i="5"/>
  <c r="W104" i="5"/>
  <c r="U115" i="5"/>
  <c r="U113" i="5"/>
  <c r="U122" i="5"/>
  <c r="U246" i="5" s="1"/>
  <c r="U95" i="5"/>
  <c r="U117" i="5"/>
  <c r="U119" i="5"/>
  <c r="U216" i="5"/>
  <c r="AB101" i="5" l="1"/>
  <c r="AB98" i="5"/>
  <c r="AB62" i="5" s="1"/>
  <c r="V116" i="5"/>
  <c r="V119" i="5" s="1"/>
  <c r="V112" i="5"/>
  <c r="V115" i="5" s="1"/>
  <c r="X56" i="5"/>
  <c r="X54" i="5"/>
  <c r="X51" i="5"/>
  <c r="Z101" i="5"/>
  <c r="Z102" i="5" s="1"/>
  <c r="Y50" i="5"/>
  <c r="Y64" i="5"/>
  <c r="Y65" i="5" s="1"/>
  <c r="Z98" i="5"/>
  <c r="Z62" i="5" s="1"/>
  <c r="Z64" i="5" s="1"/>
  <c r="X65" i="5"/>
  <c r="U228" i="5"/>
  <c r="W112" i="5"/>
  <c r="W108" i="5"/>
  <c r="W116" i="5"/>
  <c r="AA98" i="5"/>
  <c r="AA62" i="5" s="1"/>
  <c r="AA101" i="5"/>
  <c r="X131" i="8"/>
  <c r="X40" i="8"/>
  <c r="U126" i="5"/>
  <c r="U128" i="5" s="1"/>
  <c r="U129" i="5" s="1"/>
  <c r="X104" i="5"/>
  <c r="X107" i="5"/>
  <c r="AB64" i="5" l="1"/>
  <c r="AB63" i="5"/>
  <c r="AB50" i="5"/>
  <c r="AB102" i="5"/>
  <c r="V113" i="5"/>
  <c r="V117" i="5"/>
  <c r="V216" i="5"/>
  <c r="Y40" i="8" s="1"/>
  <c r="V95" i="5"/>
  <c r="V122" i="5"/>
  <c r="V246" i="5" s="1"/>
  <c r="Y103" i="5"/>
  <c r="Y107" i="5" s="1"/>
  <c r="AA102" i="5"/>
  <c r="Y51" i="5"/>
  <c r="AA52" i="8"/>
  <c r="Z63" i="5"/>
  <c r="Y54" i="5"/>
  <c r="Y56" i="5"/>
  <c r="Z50" i="5"/>
  <c r="W113" i="5"/>
  <c r="W122" i="5"/>
  <c r="X112" i="5"/>
  <c r="X108" i="5"/>
  <c r="X116" i="5"/>
  <c r="W115" i="5"/>
  <c r="V228" i="5"/>
  <c r="W117" i="5"/>
  <c r="W95" i="5"/>
  <c r="W216" i="5"/>
  <c r="W119" i="5"/>
  <c r="X42" i="8"/>
  <c r="X139" i="8"/>
  <c r="U238" i="5"/>
  <c r="U276" i="5"/>
  <c r="X44" i="8"/>
  <c r="X147" i="8"/>
  <c r="Z103" i="5"/>
  <c r="Z65" i="5"/>
  <c r="AA50" i="5"/>
  <c r="AC52" i="8" s="1"/>
  <c r="AA63" i="5"/>
  <c r="AA64" i="5"/>
  <c r="AB51" i="5" l="1"/>
  <c r="AB56" i="5"/>
  <c r="AB54" i="5"/>
  <c r="AD52" i="8"/>
  <c r="AB65" i="5"/>
  <c r="AB103" i="5"/>
  <c r="Y104" i="5"/>
  <c r="V126" i="5"/>
  <c r="V128" i="5" s="1"/>
  <c r="V129" i="5" s="1"/>
  <c r="Y131" i="8"/>
  <c r="Z51" i="5"/>
  <c r="AB52" i="8"/>
  <c r="Z56" i="5"/>
  <c r="Z54" i="5"/>
  <c r="X115" i="5"/>
  <c r="X48" i="8"/>
  <c r="X50" i="8" s="1"/>
  <c r="AA65" i="5"/>
  <c r="AA103" i="5"/>
  <c r="W228" i="5"/>
  <c r="Y112" i="5"/>
  <c r="Y108" i="5"/>
  <c r="Y116" i="5"/>
  <c r="X113" i="5"/>
  <c r="X122" i="5"/>
  <c r="Z107" i="5"/>
  <c r="Z104" i="5"/>
  <c r="Z40" i="8"/>
  <c r="Z131" i="8"/>
  <c r="Y42" i="8"/>
  <c r="Y139" i="8"/>
  <c r="V238" i="5"/>
  <c r="V276" i="5"/>
  <c r="Y44" i="8"/>
  <c r="Y147" i="8"/>
  <c r="W246" i="5"/>
  <c r="W126" i="5"/>
  <c r="W128" i="5" s="1"/>
  <c r="W129" i="5" s="1"/>
  <c r="AA51" i="5"/>
  <c r="AA54" i="5"/>
  <c r="AA56" i="5"/>
  <c r="X117" i="5"/>
  <c r="X95" i="5"/>
  <c r="X119" i="5"/>
  <c r="X216" i="5"/>
  <c r="Y115" i="5" l="1"/>
  <c r="AB104" i="5"/>
  <c r="AB107" i="5"/>
  <c r="AA131" i="8"/>
  <c r="AA40" i="8"/>
  <c r="Y48" i="8"/>
  <c r="Y50" i="8" s="1"/>
  <c r="Z44" i="8"/>
  <c r="Z147" i="8"/>
  <c r="Y95" i="5"/>
  <c r="Y117" i="5"/>
  <c r="Y119" i="5"/>
  <c r="Y216" i="5"/>
  <c r="Z42" i="8"/>
  <c r="Z139" i="8"/>
  <c r="W238" i="5"/>
  <c r="W276" i="5"/>
  <c r="X228" i="5"/>
  <c r="Z108" i="5"/>
  <c r="Z116" i="5"/>
  <c r="Z112" i="5"/>
  <c r="AA107" i="5"/>
  <c r="AA104" i="5"/>
  <c r="X246" i="5"/>
  <c r="X126" i="5"/>
  <c r="X128" i="5" s="1"/>
  <c r="X129" i="5" s="1"/>
  <c r="Y113" i="5"/>
  <c r="Y122" i="5"/>
  <c r="AB112" i="5" l="1"/>
  <c r="AB116" i="5"/>
  <c r="AB108" i="5"/>
  <c r="AB131" i="8"/>
  <c r="AB40" i="8"/>
  <c r="AA147" i="8"/>
  <c r="AA44" i="8"/>
  <c r="AA139" i="8"/>
  <c r="AA42" i="8"/>
  <c r="Z48" i="8"/>
  <c r="Z50" i="8" s="1"/>
  <c r="Z113" i="5"/>
  <c r="Z122" i="5"/>
  <c r="X238" i="5"/>
  <c r="X276" i="5"/>
  <c r="Y228" i="5"/>
  <c r="Y126" i="5"/>
  <c r="Y128" i="5" s="1"/>
  <c r="Y129" i="5" s="1"/>
  <c r="Y246" i="5"/>
  <c r="Z95" i="5"/>
  <c r="Z117" i="5"/>
  <c r="Z119" i="5"/>
  <c r="Z216" i="5"/>
  <c r="Z115" i="5"/>
  <c r="AA112" i="5"/>
  <c r="AA108" i="5"/>
  <c r="AA116" i="5"/>
  <c r="AB216" i="5" l="1"/>
  <c r="AB119" i="5"/>
  <c r="AB228" i="5" s="1"/>
  <c r="AB117" i="5"/>
  <c r="AB95" i="5"/>
  <c r="AB113" i="5"/>
  <c r="AB122" i="5"/>
  <c r="AC131" i="8"/>
  <c r="AC40" i="8"/>
  <c r="AB147" i="8"/>
  <c r="AB44" i="8"/>
  <c r="AA48" i="8"/>
  <c r="AA50" i="8" s="1"/>
  <c r="AB139" i="8"/>
  <c r="AB42" i="8"/>
  <c r="Z228" i="5"/>
  <c r="AA113" i="5"/>
  <c r="AA122" i="5"/>
  <c r="Y238" i="5"/>
  <c r="Y276" i="5"/>
  <c r="AA115" i="5"/>
  <c r="AB115" i="5" s="1"/>
  <c r="AA117" i="5"/>
  <c r="AA95" i="5"/>
  <c r="AA216" i="5"/>
  <c r="AA119" i="5"/>
  <c r="Z246" i="5"/>
  <c r="Z126" i="5"/>
  <c r="Z128" i="5" s="1"/>
  <c r="Z129" i="5" s="1"/>
  <c r="AB126" i="5" l="1"/>
  <c r="AB128" i="5" s="1"/>
  <c r="AB129" i="5" s="1"/>
  <c r="AB246" i="5"/>
  <c r="AB276" i="5" s="1"/>
  <c r="AE139" i="8"/>
  <c r="AE42" i="8"/>
  <c r="AB238" i="5"/>
  <c r="AE40" i="8"/>
  <c r="AE131" i="8"/>
  <c r="AC139" i="8"/>
  <c r="AC42" i="8"/>
  <c r="AB48" i="8"/>
  <c r="AB50" i="8" s="1"/>
  <c r="AD131" i="8"/>
  <c r="AD40" i="8"/>
  <c r="AC147" i="8"/>
  <c r="AC44" i="8"/>
  <c r="AA246" i="5"/>
  <c r="AA126" i="5"/>
  <c r="AA128" i="5" s="1"/>
  <c r="AA129" i="5" s="1"/>
  <c r="AA228" i="5"/>
  <c r="Z238" i="5"/>
  <c r="Z276" i="5"/>
  <c r="AE147" i="8" l="1"/>
  <c r="AE44" i="8"/>
  <c r="AE48" i="8" s="1"/>
  <c r="AE50" i="8" s="1"/>
  <c r="AD147" i="8"/>
  <c r="AD44" i="8"/>
  <c r="AD139" i="8"/>
  <c r="AD42" i="8"/>
  <c r="AC48" i="8"/>
  <c r="AC50" i="8" s="1"/>
  <c r="AA238" i="5"/>
  <c r="AA276" i="5"/>
  <c r="AD48" i="8" l="1"/>
  <c r="AD50" i="8" s="1"/>
  <c r="DN137" i="1" l="1"/>
  <c r="DN152" i="1"/>
  <c r="F200" i="12" l="1"/>
  <c r="F201" i="12" s="1"/>
  <c r="O15" i="6" l="1"/>
  <c r="P15" i="6"/>
  <c r="P35" i="6" l="1"/>
  <c r="O35" i="6"/>
  <c r="O38" i="6"/>
  <c r="O39" i="6" s="1"/>
  <c r="O36" i="6"/>
  <c r="P36" i="6"/>
  <c r="O25" i="6"/>
  <c r="O42" i="6" s="1"/>
  <c r="O41" i="6" s="1"/>
  <c r="I834" i="7"/>
  <c r="J834" i="7"/>
  <c r="K834" i="7"/>
  <c r="K63" i="13" l="1"/>
  <c r="K64" i="13" l="1"/>
  <c r="K69" i="13"/>
  <c r="K94" i="13"/>
  <c r="K122" i="13" s="1"/>
  <c r="K127" i="13" s="1"/>
  <c r="AV64" i="13" l="1"/>
  <c r="AR64" i="13"/>
  <c r="K139" i="13"/>
  <c r="K70" i="13"/>
  <c r="N139" i="13"/>
  <c r="L139" i="13"/>
  <c r="M139" i="13"/>
  <c r="K95" i="13"/>
  <c r="K100" i="13"/>
  <c r="N138" i="13" l="1"/>
  <c r="AV95" i="13"/>
  <c r="AR95" i="13"/>
  <c r="M138" i="13"/>
  <c r="K124" i="13"/>
  <c r="K129" i="13" s="1"/>
  <c r="K101" i="13"/>
  <c r="L138" i="13"/>
  <c r="K138" i="13"/>
  <c r="I1023" i="7" l="1"/>
  <c r="I1024" i="7" s="1"/>
  <c r="F44" i="12"/>
  <c r="F42" i="12"/>
  <c r="F43" i="12"/>
  <c r="F47" i="12"/>
  <c r="F48" i="12"/>
  <c r="F52" i="12"/>
  <c r="F57" i="12" s="1"/>
  <c r="F53" i="12"/>
  <c r="F58" i="12" s="1"/>
  <c r="F171" i="12"/>
  <c r="F172" i="12" s="1"/>
  <c r="P20" i="6"/>
  <c r="P25" i="6" s="1"/>
  <c r="F49" i="12" l="1"/>
  <c r="F228" i="12"/>
  <c r="F245" i="12" s="1"/>
  <c r="F63" i="12"/>
  <c r="F54" i="12"/>
  <c r="F83" i="12"/>
  <c r="F98" i="12" s="1"/>
  <c r="P42" i="6"/>
  <c r="P41" i="6" s="1"/>
  <c r="F173" i="12"/>
  <c r="E45" i="10" s="1"/>
  <c r="E48" i="10" s="1"/>
  <c r="E47" i="10" s="1"/>
  <c r="K1022" i="7"/>
  <c r="K1023" i="7" s="1"/>
  <c r="J1022" i="7"/>
  <c r="J1023" i="7" s="1"/>
  <c r="J1024" i="7" s="1"/>
  <c r="F59" i="12" l="1"/>
  <c r="P38" i="6"/>
  <c r="P39" i="6" s="1"/>
  <c r="K1024" i="7"/>
  <c r="L1022" i="7"/>
  <c r="E49" i="10"/>
  <c r="E51" i="10" s="1"/>
  <c r="E53" i="10" s="1"/>
  <c r="F45" i="10" l="1"/>
  <c r="F48" i="10" s="1"/>
  <c r="F47" i="10" s="1"/>
  <c r="C1053" i="7"/>
  <c r="H42" i="12"/>
  <c r="H52" i="12"/>
  <c r="H57" i="12" s="1"/>
  <c r="G142" i="12"/>
  <c r="Q20" i="6"/>
  <c r="M1022" i="7"/>
  <c r="H39" i="12"/>
  <c r="H171" i="12"/>
  <c r="D1053" i="7" l="1"/>
  <c r="D1060" i="7" s="1"/>
  <c r="C1060" i="7"/>
  <c r="C1054" i="7"/>
  <c r="C1061" i="7" s="1"/>
  <c r="C1082" i="7"/>
  <c r="C1081" i="7"/>
  <c r="C1083" i="7"/>
  <c r="I42" i="12"/>
  <c r="I57" i="12"/>
  <c r="H142" i="12"/>
  <c r="J37" i="12"/>
  <c r="I39" i="12"/>
  <c r="E1053" i="7" s="1"/>
  <c r="I171" i="12"/>
  <c r="F49" i="10"/>
  <c r="F51" i="10" s="1"/>
  <c r="F53" i="10" s="1"/>
  <c r="D1081" i="7"/>
  <c r="R20" i="6"/>
  <c r="J38" i="12"/>
  <c r="J49" i="12"/>
  <c r="AD111" i="13" l="1"/>
  <c r="AE111" i="13"/>
  <c r="C20" i="15"/>
  <c r="Z117" i="13"/>
  <c r="N304" i="15" s="1"/>
  <c r="E1060" i="7"/>
  <c r="K37" i="12"/>
  <c r="I142" i="12"/>
  <c r="I144" i="12"/>
  <c r="I145" i="12" s="1"/>
  <c r="I21" i="10"/>
  <c r="I22" i="10" s="1"/>
  <c r="J141" i="12"/>
  <c r="J42" i="12"/>
  <c r="J52" i="12"/>
  <c r="J57" i="12" s="1"/>
  <c r="D1082" i="7"/>
  <c r="E1081" i="7"/>
  <c r="S20" i="6"/>
  <c r="K49" i="12"/>
  <c r="K38" i="12"/>
  <c r="AF111" i="13" s="1"/>
  <c r="J171" i="12"/>
  <c r="J39" i="12"/>
  <c r="F1053" i="7" s="1"/>
  <c r="AD110" i="13" l="1"/>
  <c r="AE110" i="13"/>
  <c r="I20" i="15"/>
  <c r="E20" i="15"/>
  <c r="F1060" i="7"/>
  <c r="J142" i="12"/>
  <c r="J144" i="12"/>
  <c r="J145" i="12" s="1"/>
  <c r="J21" i="10"/>
  <c r="J22" i="10" s="1"/>
  <c r="K141" i="12"/>
  <c r="AF110" i="13" s="1"/>
  <c r="K42" i="12"/>
  <c r="K52" i="12"/>
  <c r="K57" i="12" s="1"/>
  <c r="L37" i="12"/>
  <c r="K39" i="12"/>
  <c r="K171" i="12"/>
  <c r="E1082" i="7"/>
  <c r="F1081" i="7"/>
  <c r="T20" i="6"/>
  <c r="L38" i="12"/>
  <c r="L49" i="12"/>
  <c r="AF113" i="13" l="1"/>
  <c r="AF117" i="13"/>
  <c r="AE113" i="13"/>
  <c r="AE117" i="13"/>
  <c r="AD113" i="13"/>
  <c r="AD117" i="13"/>
  <c r="L141" i="12"/>
  <c r="L42" i="12"/>
  <c r="L52" i="12"/>
  <c r="L57" i="12" s="1"/>
  <c r="K142" i="12"/>
  <c r="K21" i="10"/>
  <c r="K22" i="10" s="1"/>
  <c r="K144" i="12"/>
  <c r="K145" i="12" s="1"/>
  <c r="M37" i="12"/>
  <c r="L39" i="12"/>
  <c r="V20" i="6" s="1"/>
  <c r="L171" i="12"/>
  <c r="G1053" i="7"/>
  <c r="G1060" i="7" s="1"/>
  <c r="U20" i="6"/>
  <c r="F1082" i="7"/>
  <c r="M38" i="12"/>
  <c r="M49" i="12"/>
  <c r="AD114" i="13" l="1"/>
  <c r="AD108" i="13"/>
  <c r="AD107" i="13" s="1"/>
  <c r="G1081" i="7"/>
  <c r="M141" i="12"/>
  <c r="M42" i="12"/>
  <c r="M52" i="12"/>
  <c r="M57" i="12" s="1"/>
  <c r="N37" i="12"/>
  <c r="L142" i="12"/>
  <c r="L144" i="12"/>
  <c r="L145" i="12" s="1"/>
  <c r="L21" i="10"/>
  <c r="L22" i="10" s="1"/>
  <c r="N38" i="12"/>
  <c r="N49" i="12"/>
  <c r="M39" i="12"/>
  <c r="M171" i="12"/>
  <c r="D1083" i="7"/>
  <c r="H94" i="12" l="1"/>
  <c r="P37" i="12"/>
  <c r="O37" i="12"/>
  <c r="N141" i="12"/>
  <c r="N42" i="12"/>
  <c r="N52" i="12"/>
  <c r="N57" i="12" s="1"/>
  <c r="M142" i="12"/>
  <c r="M144" i="12"/>
  <c r="M145" i="12" s="1"/>
  <c r="M21" i="10"/>
  <c r="M22" i="10" s="1"/>
  <c r="O38" i="12"/>
  <c r="O49" i="12"/>
  <c r="N171" i="12"/>
  <c r="N39" i="12"/>
  <c r="N142" i="12" l="1"/>
  <c r="N21" i="10"/>
  <c r="N22" i="10" s="1"/>
  <c r="N144" i="12"/>
  <c r="N145" i="12" s="1"/>
  <c r="O141" i="12"/>
  <c r="O42" i="12"/>
  <c r="O52" i="12"/>
  <c r="O57" i="12" s="1"/>
  <c r="P141" i="12"/>
  <c r="P42" i="12"/>
  <c r="P52" i="12"/>
  <c r="P57" i="12" s="1"/>
  <c r="O39" i="12"/>
  <c r="O171" i="12"/>
  <c r="P38" i="12"/>
  <c r="P49" i="12"/>
  <c r="P142" i="12" l="1"/>
  <c r="P144" i="12"/>
  <c r="P145" i="12" s="1"/>
  <c r="O142" i="12"/>
  <c r="O21" i="10"/>
  <c r="O22" i="10" s="1"/>
  <c r="C35" i="10" s="1"/>
  <c r="O144" i="12"/>
  <c r="O145" i="12" s="1"/>
  <c r="P39" i="12"/>
  <c r="P171" i="12"/>
  <c r="C38" i="10" l="1"/>
  <c r="C39" i="10" s="1"/>
  <c r="C40" i="10" l="1"/>
  <c r="F3" i="10" s="1"/>
  <c r="E1083" i="7"/>
  <c r="F1083" i="7" l="1"/>
  <c r="G244" i="12" l="1"/>
  <c r="G245" i="12" s="1"/>
  <c r="G138" i="12"/>
  <c r="G144" i="12"/>
  <c r="G145" i="12" s="1"/>
  <c r="G21" i="10"/>
  <c r="G22" i="10" s="1"/>
  <c r="Q16" i="6"/>
  <c r="Q37" i="6" s="1"/>
  <c r="Q47" i="6"/>
  <c r="G102" i="12"/>
  <c r="G105" i="12"/>
  <c r="G109" i="12" s="1"/>
  <c r="Q13" i="6"/>
  <c r="Q46" i="6" s="1"/>
  <c r="Q15" i="6" l="1"/>
  <c r="Q51" i="6"/>
  <c r="C1177" i="7"/>
  <c r="R21" i="6"/>
  <c r="Q36" i="6" l="1"/>
  <c r="C1174" i="7" s="1"/>
  <c r="Q38" i="6"/>
  <c r="Q35" i="6"/>
  <c r="C1176" i="7"/>
  <c r="C1175" i="7" s="1"/>
  <c r="H109" i="12"/>
  <c r="I109" i="12" l="1"/>
  <c r="J109" i="12" l="1"/>
  <c r="K109" i="12" l="1"/>
  <c r="L109" i="12" l="1"/>
  <c r="M109" i="12" l="1"/>
  <c r="N109" i="12" l="1"/>
  <c r="O109" i="12" l="1"/>
  <c r="P109" i="12"/>
  <c r="G83" i="12"/>
  <c r="G98" i="12" s="1"/>
  <c r="Q22" i="6"/>
  <c r="Q25" i="6" s="1"/>
  <c r="C1055" i="7" s="1"/>
  <c r="C1062" i="7" s="1"/>
  <c r="Q42" i="6" l="1"/>
  <c r="Q41" i="6" s="1"/>
  <c r="G67" i="12"/>
  <c r="G72" i="12" s="1"/>
  <c r="G78" i="12" l="1"/>
  <c r="G75" i="12"/>
  <c r="Q39" i="6" s="1"/>
  <c r="Q48" i="6"/>
  <c r="G82" i="12" l="1"/>
  <c r="Q44" i="6"/>
  <c r="C1051" i="7"/>
  <c r="C1058" i="7" s="1"/>
  <c r="G6" i="12"/>
  <c r="G62" i="12"/>
  <c r="G99" i="12" l="1"/>
  <c r="P32" i="6"/>
  <c r="G33" i="12"/>
  <c r="J225" i="12" l="1"/>
  <c r="K225" i="12" s="1"/>
  <c r="L225" i="12" s="1"/>
  <c r="M225" i="12" s="1"/>
  <c r="N225" i="12" s="1"/>
  <c r="O225" i="12" s="1"/>
  <c r="G180" i="12" l="1"/>
  <c r="G201" i="12"/>
  <c r="G209" i="12"/>
  <c r="G214" i="12" s="1"/>
  <c r="H210" i="12" l="1"/>
  <c r="J197" i="12" l="1"/>
  <c r="J185" i="12" s="1"/>
  <c r="J151" i="12" s="1"/>
  <c r="J152" i="12" l="1"/>
  <c r="J153" i="12"/>
  <c r="AD8" i="13" s="1"/>
  <c r="K197" i="12"/>
  <c r="H5" i="12"/>
  <c r="H6" i="12" s="1"/>
  <c r="H158" i="12"/>
  <c r="I210" i="12"/>
  <c r="I186" i="12"/>
  <c r="K185" i="12" l="1"/>
  <c r="K151" i="12" s="1"/>
  <c r="L197" i="12"/>
  <c r="H160" i="12"/>
  <c r="H172" i="12"/>
  <c r="H43" i="12"/>
  <c r="J210" i="12"/>
  <c r="J186" i="12"/>
  <c r="K152" i="12" l="1"/>
  <c r="K153" i="12" s="1"/>
  <c r="D1051" i="7"/>
  <c r="D1058" i="7" s="1"/>
  <c r="H44" i="12"/>
  <c r="H8" i="12"/>
  <c r="L185" i="12"/>
  <c r="L151" i="12" s="1"/>
  <c r="M197" i="12"/>
  <c r="H200" i="12"/>
  <c r="H12" i="12"/>
  <c r="H13" i="12" s="1"/>
  <c r="K210" i="12"/>
  <c r="K186" i="12"/>
  <c r="L152" i="12" l="1"/>
  <c r="L153" i="12" s="1"/>
  <c r="H24" i="12"/>
  <c r="H63" i="12"/>
  <c r="H23" i="12"/>
  <c r="N197" i="12"/>
  <c r="M185" i="12"/>
  <c r="M151" i="12" s="1"/>
  <c r="M152" i="12" s="1"/>
  <c r="M153" i="12" s="1"/>
  <c r="L210" i="12"/>
  <c r="L186" i="12"/>
  <c r="H33" i="12" l="1"/>
  <c r="D1155" i="7"/>
  <c r="D1157" i="7" s="1"/>
  <c r="D1167" i="7" s="1"/>
  <c r="H53" i="12"/>
  <c r="H58" i="12" s="1"/>
  <c r="H32" i="12"/>
  <c r="O197" i="12"/>
  <c r="N185" i="12"/>
  <c r="N151" i="12" s="1"/>
  <c r="N152" i="12" s="1"/>
  <c r="N153" i="12" s="1"/>
  <c r="H25" i="12"/>
  <c r="H107" i="12" s="1"/>
  <c r="M210" i="12"/>
  <c r="M186" i="12"/>
  <c r="Z63" i="13" l="1"/>
  <c r="N210" i="12"/>
  <c r="N186" i="12"/>
  <c r="D1052" i="7"/>
  <c r="H54" i="12"/>
  <c r="H59" i="12" s="1"/>
  <c r="H26" i="12"/>
  <c r="H29" i="12"/>
  <c r="H34" i="12"/>
  <c r="P197" i="12"/>
  <c r="P185" i="12" s="1"/>
  <c r="P151" i="12" s="1"/>
  <c r="P152" i="12" s="1"/>
  <c r="P153" i="12" s="1"/>
  <c r="O185" i="12"/>
  <c r="O151" i="12" s="1"/>
  <c r="O152" i="12" s="1"/>
  <c r="O153" i="12" s="1"/>
  <c r="H72" i="12"/>
  <c r="H75" i="12" s="1"/>
  <c r="Z94" i="13" l="1"/>
  <c r="R19" i="6"/>
  <c r="D1054" i="7"/>
  <c r="D1059" i="7"/>
  <c r="P186" i="12"/>
  <c r="P210" i="12"/>
  <c r="O186" i="12"/>
  <c r="O210" i="12"/>
  <c r="H83" i="12" l="1"/>
  <c r="H78" i="12"/>
  <c r="R22" i="6"/>
  <c r="R25" i="6" s="1"/>
  <c r="D1061" i="7"/>
  <c r="I1054" i="7"/>
  <c r="H82" i="12" l="1"/>
  <c r="H79" i="12"/>
  <c r="R44" i="6"/>
  <c r="D1055" i="7"/>
  <c r="D1062" i="7" s="1"/>
  <c r="R42" i="6"/>
  <c r="R41" i="6" s="1"/>
  <c r="H98" i="12"/>
  <c r="H99" i="12" l="1"/>
  <c r="Q32" i="6"/>
  <c r="H102" i="12"/>
  <c r="H244" i="12"/>
  <c r="H245" i="12" s="1"/>
  <c r="R13" i="6"/>
  <c r="R48" i="6"/>
  <c r="R15" i="6" l="1"/>
  <c r="R46" i="6"/>
  <c r="R51" i="6" s="1"/>
  <c r="R47" i="6"/>
  <c r="R16" i="6"/>
  <c r="R37" i="6" s="1"/>
  <c r="W37" i="6" s="1"/>
  <c r="S21" i="6"/>
  <c r="D1176" i="7" l="1"/>
  <c r="D1175" i="7" s="1"/>
  <c r="R38" i="6"/>
  <c r="R39" i="6" s="1"/>
  <c r="R35" i="6"/>
  <c r="R36" i="6"/>
  <c r="W36" i="6" s="1"/>
  <c r="D1174" i="7" l="1"/>
  <c r="D1179" i="7" s="1"/>
  <c r="D1180" i="7" s="1"/>
  <c r="D1181" i="7" s="1"/>
  <c r="Z19" i="13" l="1"/>
  <c r="BK19" i="13" s="1"/>
  <c r="Z31" i="13" l="1"/>
  <c r="Z20" i="13"/>
  <c r="BG19" i="13"/>
  <c r="BG20" i="13" l="1"/>
  <c r="BK20" i="13"/>
  <c r="BG31" i="13"/>
  <c r="H209" i="12"/>
  <c r="H214" i="12" s="1"/>
  <c r="H201" i="12"/>
  <c r="H182" i="12"/>
  <c r="H211" i="12" s="1"/>
  <c r="H180" i="12"/>
  <c r="Z84" i="13" l="1"/>
  <c r="H183" i="12"/>
  <c r="J182" i="12" l="1"/>
  <c r="J179" i="12" s="1"/>
  <c r="K182" i="12" l="1"/>
  <c r="J211" i="12"/>
  <c r="K211" i="12" l="1"/>
  <c r="K179" i="12"/>
  <c r="J209" i="12"/>
  <c r="J157" i="12" s="1"/>
  <c r="L182" i="12"/>
  <c r="M182" i="12" l="1"/>
  <c r="L211" i="12"/>
  <c r="L179" i="12"/>
  <c r="K180" i="12"/>
  <c r="K209" i="12"/>
  <c r="K157" i="12" s="1"/>
  <c r="AF10" i="13" l="1"/>
  <c r="AF118" i="13" s="1"/>
  <c r="AE10" i="13"/>
  <c r="AE118" i="13" s="1"/>
  <c r="AD10" i="13"/>
  <c r="BK10" i="13" s="1"/>
  <c r="J5" i="12"/>
  <c r="J162" i="12"/>
  <c r="J172" i="12" s="1"/>
  <c r="N182" i="12"/>
  <c r="M211" i="12"/>
  <c r="M179" i="12"/>
  <c r="K158" i="12"/>
  <c r="K162" i="12"/>
  <c r="K5" i="12"/>
  <c r="I8" i="12"/>
  <c r="I44" i="12"/>
  <c r="E1051" i="7"/>
  <c r="E1058" i="7" s="1"/>
  <c r="L180" i="12"/>
  <c r="L209" i="12"/>
  <c r="L157" i="12" s="1"/>
  <c r="J43" i="12" l="1"/>
  <c r="J213" i="12"/>
  <c r="J214" i="12" s="1"/>
  <c r="J160" i="12"/>
  <c r="J167" i="12"/>
  <c r="K213" i="12"/>
  <c r="K172" i="12"/>
  <c r="K167" i="12"/>
  <c r="K160" i="12"/>
  <c r="M180" i="12"/>
  <c r="M209" i="12"/>
  <c r="M157" i="12" s="1"/>
  <c r="K43" i="12"/>
  <c r="I63" i="12"/>
  <c r="N211" i="12"/>
  <c r="N179" i="12"/>
  <c r="BG40" i="13"/>
  <c r="Z62" i="13"/>
  <c r="L5" i="12"/>
  <c r="L158" i="12"/>
  <c r="L162" i="12"/>
  <c r="P182" i="12"/>
  <c r="O182" i="12"/>
  <c r="J168" i="12" l="1"/>
  <c r="D4" i="10"/>
  <c r="J12" i="12"/>
  <c r="J23" i="12" s="1"/>
  <c r="AE40" i="13"/>
  <c r="AE62" i="13" s="1"/>
  <c r="AD40" i="13"/>
  <c r="K12" i="12"/>
  <c r="K23" i="12" s="1"/>
  <c r="AF40" i="13"/>
  <c r="AF62" i="13" s="1"/>
  <c r="C13" i="15"/>
  <c r="G13" i="15" s="1"/>
  <c r="BR296" i="1"/>
  <c r="I162" i="12"/>
  <c r="J200" i="12"/>
  <c r="J201" i="12" s="1"/>
  <c r="J173" i="12"/>
  <c r="I45" i="10" s="1"/>
  <c r="I48" i="10" s="1"/>
  <c r="K214" i="12"/>
  <c r="K200" i="12"/>
  <c r="K201" i="12" s="1"/>
  <c r="O211" i="12"/>
  <c r="O179" i="12"/>
  <c r="M158" i="12"/>
  <c r="M5" i="12"/>
  <c r="M162" i="12"/>
  <c r="I67" i="12"/>
  <c r="I25" i="12"/>
  <c r="L172" i="12"/>
  <c r="L167" i="12"/>
  <c r="L213" i="12"/>
  <c r="L160" i="12"/>
  <c r="L12" i="12" s="1"/>
  <c r="I228" i="12"/>
  <c r="L43" i="12"/>
  <c r="P211" i="12"/>
  <c r="P179" i="12"/>
  <c r="BG62" i="13"/>
  <c r="Z93" i="13"/>
  <c r="N180" i="12"/>
  <c r="N209" i="12"/>
  <c r="N157" i="12" s="1"/>
  <c r="K173" i="12"/>
  <c r="J45" i="10" s="1"/>
  <c r="K168" i="12"/>
  <c r="J53" i="12" l="1"/>
  <c r="J58" i="12" s="1"/>
  <c r="AD62" i="13"/>
  <c r="E13" i="15"/>
  <c r="I13" i="15"/>
  <c r="J32" i="12"/>
  <c r="AF68" i="13"/>
  <c r="AF93" i="13"/>
  <c r="BK40" i="13"/>
  <c r="AE93" i="13"/>
  <c r="AE68" i="13"/>
  <c r="I160" i="12"/>
  <c r="I12" i="12" s="1"/>
  <c r="I172" i="12"/>
  <c r="I167" i="12"/>
  <c r="BR298" i="1"/>
  <c r="I213" i="12" s="1"/>
  <c r="BR295" i="1"/>
  <c r="BR302" i="1"/>
  <c r="BR303" i="1" s="1"/>
  <c r="BR297" i="1"/>
  <c r="L200" i="12"/>
  <c r="L201" i="12" s="1"/>
  <c r="L214" i="12"/>
  <c r="M213" i="12"/>
  <c r="M167" i="12"/>
  <c r="M172" i="12"/>
  <c r="M160" i="12"/>
  <c r="M12" i="12" s="1"/>
  <c r="P180" i="12"/>
  <c r="P209" i="12"/>
  <c r="P157" i="12" s="1"/>
  <c r="L173" i="12"/>
  <c r="K45" i="10" s="1"/>
  <c r="L168" i="12"/>
  <c r="M43" i="12"/>
  <c r="Z123" i="13"/>
  <c r="N5" i="12"/>
  <c r="N158" i="12"/>
  <c r="N162" i="12"/>
  <c r="O180" i="12"/>
  <c r="O209" i="12"/>
  <c r="O157" i="12" s="1"/>
  <c r="J48" i="10"/>
  <c r="I26" i="12"/>
  <c r="I34" i="12"/>
  <c r="I54" i="12"/>
  <c r="E1052" i="7"/>
  <c r="I29" i="12"/>
  <c r="L23" i="12"/>
  <c r="K32" i="12"/>
  <c r="K53" i="12"/>
  <c r="K58" i="12" s="1"/>
  <c r="I72" i="12"/>
  <c r="I75" i="12" s="1"/>
  <c r="I59" i="12" l="1"/>
  <c r="AD93" i="13"/>
  <c r="AD123" i="13" s="1"/>
  <c r="BK62" i="13"/>
  <c r="AE99" i="13"/>
  <c r="AE123" i="13"/>
  <c r="AE128" i="13" s="1"/>
  <c r="AF99" i="13"/>
  <c r="AF123" i="13"/>
  <c r="AF128" i="13" s="1"/>
  <c r="I200" i="12"/>
  <c r="I173" i="12"/>
  <c r="H45" i="10" s="1"/>
  <c r="H48" i="10" s="1"/>
  <c r="M1021" i="7"/>
  <c r="M1023" i="7" s="1"/>
  <c r="I13" i="12"/>
  <c r="I23" i="12"/>
  <c r="S19" i="6"/>
  <c r="E1054" i="7"/>
  <c r="E1061" i="7" s="1"/>
  <c r="E1059" i="7"/>
  <c r="N167" i="12"/>
  <c r="N213" i="12"/>
  <c r="N172" i="12"/>
  <c r="N160" i="12"/>
  <c r="N12" i="12" s="1"/>
  <c r="M173" i="12"/>
  <c r="L45" i="10" s="1"/>
  <c r="M168" i="12"/>
  <c r="M214" i="12"/>
  <c r="M200" i="12"/>
  <c r="M201" i="12" s="1"/>
  <c r="O158" i="12"/>
  <c r="O5" i="12"/>
  <c r="O162" i="12"/>
  <c r="N43" i="12"/>
  <c r="P5" i="12"/>
  <c r="P158" i="12"/>
  <c r="P162" i="12"/>
  <c r="L53" i="12"/>
  <c r="L58" i="12" s="1"/>
  <c r="L32" i="12"/>
  <c r="K48" i="10"/>
  <c r="M23" i="12"/>
  <c r="I24" i="12" l="1"/>
  <c r="I53" i="12"/>
  <c r="I83" i="12"/>
  <c r="N23" i="12"/>
  <c r="L48" i="10"/>
  <c r="O172" i="12"/>
  <c r="O167" i="12"/>
  <c r="O213" i="12"/>
  <c r="O160" i="12"/>
  <c r="O12" i="12" s="1"/>
  <c r="P43" i="12"/>
  <c r="S22" i="6"/>
  <c r="S25" i="6" s="1"/>
  <c r="M32" i="12"/>
  <c r="M53" i="12"/>
  <c r="M58" i="12" s="1"/>
  <c r="P172" i="12"/>
  <c r="P213" i="12"/>
  <c r="P160" i="12"/>
  <c r="P12" i="12" s="1"/>
  <c r="P167" i="12"/>
  <c r="O43" i="12"/>
  <c r="N200" i="12"/>
  <c r="N201" i="12" s="1"/>
  <c r="N214" i="12"/>
  <c r="I78" i="12"/>
  <c r="C19" i="15" s="1"/>
  <c r="N168" i="12"/>
  <c r="N173" i="12"/>
  <c r="M45" i="10" s="1"/>
  <c r="J14" i="12" l="1"/>
  <c r="K13" i="12"/>
  <c r="G19" i="15"/>
  <c r="I19" i="15"/>
  <c r="E19" i="15"/>
  <c r="S42" i="6"/>
  <c r="S41" i="6" s="1"/>
  <c r="E1055" i="7"/>
  <c r="E1062" i="7" s="1"/>
  <c r="P23" i="12"/>
  <c r="M48" i="10"/>
  <c r="O214" i="12"/>
  <c r="O200" i="12"/>
  <c r="O201" i="12" s="1"/>
  <c r="P214" i="12"/>
  <c r="P200" i="12"/>
  <c r="P201" i="12" s="1"/>
  <c r="AI158" i="13"/>
  <c r="S44" i="6"/>
  <c r="I82" i="12"/>
  <c r="R32" i="6" s="1"/>
  <c r="O168" i="12"/>
  <c r="O173" i="12"/>
  <c r="N45" i="10" s="1"/>
  <c r="O23" i="12"/>
  <c r="P173" i="12"/>
  <c r="O45" i="10" s="1"/>
  <c r="P168" i="12"/>
  <c r="AI157" i="13"/>
  <c r="N32" i="12"/>
  <c r="N53" i="12"/>
  <c r="N58" i="12" s="1"/>
  <c r="AD41" i="13" l="1"/>
  <c r="AE41" i="13"/>
  <c r="AE63" i="13" s="1"/>
  <c r="AD42" i="13"/>
  <c r="AE42" i="13"/>
  <c r="J25" i="12"/>
  <c r="L13" i="12"/>
  <c r="K14" i="12"/>
  <c r="AF42" i="13" s="1"/>
  <c r="K24" i="12"/>
  <c r="AF41" i="13" s="1"/>
  <c r="AF63" i="13" s="1"/>
  <c r="P32" i="12"/>
  <c r="P53" i="12"/>
  <c r="P58" i="12" s="1"/>
  <c r="O48" i="10"/>
  <c r="P45" i="10"/>
  <c r="O32" i="12"/>
  <c r="O53" i="12"/>
  <c r="O58" i="12" s="1"/>
  <c r="N48" i="10"/>
  <c r="AD63" i="13" l="1"/>
  <c r="AD94" i="13" s="1"/>
  <c r="BK41" i="13"/>
  <c r="AE94" i="13"/>
  <c r="AE64" i="13"/>
  <c r="AF94" i="13"/>
  <c r="AF64" i="13"/>
  <c r="BX141" i="13"/>
  <c r="K25" i="12"/>
  <c r="L24" i="12"/>
  <c r="M13" i="12"/>
  <c r="L14" i="12"/>
  <c r="J54" i="12"/>
  <c r="J26" i="12"/>
  <c r="J29" i="12"/>
  <c r="T19" i="6" s="1"/>
  <c r="F1052" i="7"/>
  <c r="J99" i="12"/>
  <c r="J95" i="12"/>
  <c r="J94" i="12"/>
  <c r="Q45" i="10"/>
  <c r="P48" i="10"/>
  <c r="I95" i="12"/>
  <c r="Z163" i="13" s="1"/>
  <c r="I99" i="12"/>
  <c r="I94" i="12"/>
  <c r="AE122" i="13" l="1"/>
  <c r="AE95" i="13"/>
  <c r="AE124" i="13" s="1"/>
  <c r="AD163" i="13"/>
  <c r="AE163" i="13"/>
  <c r="AF95" i="13"/>
  <c r="AF122" i="13"/>
  <c r="F1054" i="7"/>
  <c r="F1061" i="7" s="1"/>
  <c r="F1059" i="7"/>
  <c r="G1052" i="7"/>
  <c r="K54" i="12"/>
  <c r="K29" i="12"/>
  <c r="U19" i="6" s="1"/>
  <c r="K26" i="12"/>
  <c r="L25" i="12"/>
  <c r="M14" i="12"/>
  <c r="M24" i="12"/>
  <c r="N13" i="12"/>
  <c r="I98" i="12"/>
  <c r="AB11" i="8"/>
  <c r="S43" i="6"/>
  <c r="Q48" i="10"/>
  <c r="R45" i="10"/>
  <c r="T43" i="6"/>
  <c r="AF124" i="13" l="1"/>
  <c r="N14" i="12"/>
  <c r="O13" i="12"/>
  <c r="N24" i="12"/>
  <c r="G1080" i="7"/>
  <c r="G1054" i="7"/>
  <c r="G1059" i="7"/>
  <c r="M25" i="12"/>
  <c r="L29" i="12"/>
  <c r="V19" i="6" s="1"/>
  <c r="L54" i="12"/>
  <c r="L26" i="12"/>
  <c r="T14" i="6"/>
  <c r="AC11" i="8" s="1"/>
  <c r="J69" i="12"/>
  <c r="C22" i="15"/>
  <c r="I22" i="15" s="1"/>
  <c r="I102" i="12"/>
  <c r="I244" i="12"/>
  <c r="I245" i="12" s="1"/>
  <c r="S13" i="6"/>
  <c r="S48" i="6"/>
  <c r="R48" i="10"/>
  <c r="S45" i="10"/>
  <c r="AD153" i="13" l="1"/>
  <c r="AE153" i="13"/>
  <c r="O14" i="12"/>
  <c r="P13" i="12"/>
  <c r="O24" i="12"/>
  <c r="N25" i="12"/>
  <c r="M54" i="12"/>
  <c r="M29" i="12"/>
  <c r="M26" i="12"/>
  <c r="G1082" i="7"/>
  <c r="G1061" i="7"/>
  <c r="I107" i="12"/>
  <c r="S47" i="6" s="1"/>
  <c r="S16" i="6"/>
  <c r="S37" i="6" s="1"/>
  <c r="C23" i="15"/>
  <c r="I23" i="15" s="1"/>
  <c r="T45" i="10"/>
  <c r="S48" i="10"/>
  <c r="S46" i="6"/>
  <c r="S51" i="6" s="1"/>
  <c r="S15" i="6"/>
  <c r="T21" i="6"/>
  <c r="S35" i="6" l="1"/>
  <c r="S38" i="6"/>
  <c r="S39" i="6" s="1"/>
  <c r="N26" i="12"/>
  <c r="N29" i="12"/>
  <c r="N54" i="12"/>
  <c r="P24" i="12"/>
  <c r="P14" i="12"/>
  <c r="O25" i="12"/>
  <c r="T48" i="10"/>
  <c r="U45" i="10"/>
  <c r="S36" i="6"/>
  <c r="O54" i="12" l="1"/>
  <c r="O29" i="12"/>
  <c r="O26" i="12"/>
  <c r="P25" i="12"/>
  <c r="U48" i="10"/>
  <c r="P54" i="12" l="1"/>
  <c r="P26" i="12"/>
  <c r="P29" i="12"/>
  <c r="X119" i="13" l="1"/>
  <c r="L306" i="15" s="1"/>
  <c r="BE13" i="13"/>
  <c r="X129" i="13"/>
  <c r="X12" i="13"/>
  <c r="AB12" i="13" s="1"/>
  <c r="X101" i="13"/>
  <c r="AB100" i="13" l="1"/>
  <c r="AB69" i="13"/>
  <c r="AB127" i="13"/>
  <c r="BI12" i="13"/>
  <c r="AB13" i="13"/>
  <c r="BG13" i="13"/>
  <c r="X127" i="13"/>
  <c r="X69" i="13"/>
  <c r="L281" i="15" s="1"/>
  <c r="X100" i="13"/>
  <c r="Z119" i="13"/>
  <c r="N306" i="15" s="1"/>
  <c r="BE12" i="13"/>
  <c r="Y10" i="13"/>
  <c r="Y12" i="13"/>
  <c r="BI13" i="13" l="1"/>
  <c r="AB119" i="13"/>
  <c r="AB129" i="13"/>
  <c r="AB70" i="13"/>
  <c r="AB101" i="13"/>
  <c r="I157" i="12"/>
  <c r="BJ10" i="13"/>
  <c r="Y100" i="13"/>
  <c r="AC12" i="13"/>
  <c r="BQ235" i="1"/>
  <c r="BQ245" i="1" s="1"/>
  <c r="C21" i="15"/>
  <c r="G5" i="15"/>
  <c r="I5" i="15"/>
  <c r="E5" i="15"/>
  <c r="Y128" i="13"/>
  <c r="Y118" i="13"/>
  <c r="M305" i="15" s="1"/>
  <c r="Y99" i="13"/>
  <c r="Y68" i="13"/>
  <c r="M280" i="15" s="1"/>
  <c r="BF10" i="13"/>
  <c r="BF12" i="13"/>
  <c r="Y69" i="13"/>
  <c r="M281" i="15" s="1"/>
  <c r="I168" i="12" l="1"/>
  <c r="I156" i="12"/>
  <c r="J156" i="12" s="1"/>
  <c r="AC100" i="13"/>
  <c r="AC69" i="13"/>
  <c r="AC127" i="13"/>
  <c r="I163" i="12"/>
  <c r="I158" i="12"/>
  <c r="I5" i="12"/>
  <c r="I32" i="12" s="1"/>
  <c r="J180" i="12"/>
  <c r="BJ12" i="13"/>
  <c r="AC13" i="13"/>
  <c r="J158" i="12"/>
  <c r="BQ292" i="1"/>
  <c r="BQ297" i="1" s="1"/>
  <c r="BQ255" i="1"/>
  <c r="BX10" i="13"/>
  <c r="BX99" i="13" s="1"/>
  <c r="AD118" i="13"/>
  <c r="AD68" i="13"/>
  <c r="AD99" i="13"/>
  <c r="AD128" i="13"/>
  <c r="BG10" i="13"/>
  <c r="C7" i="15"/>
  <c r="Z99" i="13"/>
  <c r="Z68" i="13"/>
  <c r="N280" i="15" s="1"/>
  <c r="Z128" i="13"/>
  <c r="Z118" i="13"/>
  <c r="N305" i="15" s="1"/>
  <c r="BG12" i="13"/>
  <c r="Z100" i="13"/>
  <c r="Z69" i="13"/>
  <c r="N281" i="15" s="1"/>
  <c r="BQ301" i="1"/>
  <c r="BQ302" i="1" s="1"/>
  <c r="BQ303" i="1" s="1"/>
  <c r="AE9" i="13" l="1"/>
  <c r="K156" i="12"/>
  <c r="AD9" i="13"/>
  <c r="BK9" i="13" s="1"/>
  <c r="I6" i="12"/>
  <c r="I33" i="12" s="1"/>
  <c r="I209" i="12"/>
  <c r="I214" i="12" s="1"/>
  <c r="BJ13" i="13"/>
  <c r="AC119" i="13"/>
  <c r="AC129" i="13"/>
  <c r="AC101" i="13"/>
  <c r="AC70" i="13"/>
  <c r="I180" i="12"/>
  <c r="I182" i="12"/>
  <c r="I183" i="12" s="1"/>
  <c r="I58" i="12"/>
  <c r="I43" i="12"/>
  <c r="I201" i="12"/>
  <c r="C8" i="15"/>
  <c r="G7" i="15"/>
  <c r="BY10" i="13"/>
  <c r="BX8" i="13"/>
  <c r="BX128" i="13"/>
  <c r="BX68" i="13"/>
  <c r="BX118" i="13"/>
  <c r="BX13" i="13"/>
  <c r="BY13" i="13" s="1"/>
  <c r="C17" i="15"/>
  <c r="I7" i="15"/>
  <c r="E7" i="15"/>
  <c r="AE8" i="13" l="1"/>
  <c r="BK8" i="13"/>
  <c r="AF9" i="13"/>
  <c r="L156" i="12"/>
  <c r="AF8" i="13"/>
  <c r="I211" i="12"/>
  <c r="AE12" i="13"/>
  <c r="AD12" i="13"/>
  <c r="BK12" i="13" s="1"/>
  <c r="K6" i="12"/>
  <c r="AF12" i="13" s="1"/>
  <c r="J7" i="12"/>
  <c r="J33" i="12"/>
  <c r="BX119" i="13"/>
  <c r="BX70" i="13"/>
  <c r="BX129" i="13"/>
  <c r="BX101" i="13"/>
  <c r="BG37" i="13"/>
  <c r="BF60" i="13"/>
  <c r="Y64" i="13"/>
  <c r="Y67" i="13"/>
  <c r="M279" i="15" s="1"/>
  <c r="Y73" i="13"/>
  <c r="Y86" i="13"/>
  <c r="Y91" i="13"/>
  <c r="Y95" i="13" s="1"/>
  <c r="BJ95" i="13" s="1"/>
  <c r="M156" i="12" l="1"/>
  <c r="BF73" i="13"/>
  <c r="BJ73" i="13"/>
  <c r="Y70" i="13"/>
  <c r="M282" i="15" s="1"/>
  <c r="BJ64" i="13"/>
  <c r="AE69" i="13"/>
  <c r="AE100" i="13"/>
  <c r="AE127" i="13"/>
  <c r="AD13" i="13"/>
  <c r="BK13" i="13" s="1"/>
  <c r="AE13" i="13"/>
  <c r="AF69" i="13"/>
  <c r="AF100" i="13"/>
  <c r="AF127" i="13"/>
  <c r="AD100" i="13"/>
  <c r="AD69" i="13"/>
  <c r="J61" i="12"/>
  <c r="J8" i="12"/>
  <c r="F1051" i="7"/>
  <c r="F1058" i="7" s="1"/>
  <c r="J44" i="12"/>
  <c r="J34" i="12"/>
  <c r="J59" i="12"/>
  <c r="L6" i="12"/>
  <c r="K7" i="12"/>
  <c r="AF13" i="13" s="1"/>
  <c r="K33" i="12"/>
  <c r="Y140" i="13"/>
  <c r="Y139" i="13"/>
  <c r="M328" i="15" s="1"/>
  <c r="BF64" i="13"/>
  <c r="Y124" i="13"/>
  <c r="Y129" i="13" s="1"/>
  <c r="Y101" i="13"/>
  <c r="Y166" i="13"/>
  <c r="Y167" i="13" s="1"/>
  <c r="Y98" i="13"/>
  <c r="Y122" i="13"/>
  <c r="Y127" i="13" s="1"/>
  <c r="C12" i="15"/>
  <c r="AD73" i="13"/>
  <c r="BG60" i="13"/>
  <c r="Z64" i="13"/>
  <c r="C11" i="15" s="1"/>
  <c r="Z67" i="13"/>
  <c r="N279" i="15" s="1"/>
  <c r="Z73" i="13"/>
  <c r="BG73" i="13" s="1"/>
  <c r="Z86" i="13"/>
  <c r="Z91" i="13"/>
  <c r="Z122" i="13" s="1"/>
  <c r="Z127" i="13" s="1"/>
  <c r="N156" i="12" l="1"/>
  <c r="BK73" i="13"/>
  <c r="AD119" i="13"/>
  <c r="AE146" i="13"/>
  <c r="AD146" i="13"/>
  <c r="AE119" i="13"/>
  <c r="AE70" i="13"/>
  <c r="AE101" i="13"/>
  <c r="AE129" i="13"/>
  <c r="AF119" i="13"/>
  <c r="AF70" i="13"/>
  <c r="AF101" i="13"/>
  <c r="AF129" i="13"/>
  <c r="J223" i="12"/>
  <c r="J63" i="12"/>
  <c r="J67" i="12"/>
  <c r="K44" i="12"/>
  <c r="G1051" i="7"/>
  <c r="K61" i="12"/>
  <c r="AF146" i="13" s="1"/>
  <c r="K8" i="12"/>
  <c r="K34" i="12"/>
  <c r="K59" i="12"/>
  <c r="M6" i="12"/>
  <c r="L7" i="12"/>
  <c r="L33" i="12"/>
  <c r="E12" i="15"/>
  <c r="G12" i="15"/>
  <c r="AD91" i="13"/>
  <c r="AD98" i="13" s="1"/>
  <c r="AD37" i="13"/>
  <c r="BK37" i="13" s="1"/>
  <c r="C16" i="15"/>
  <c r="Z98" i="13"/>
  <c r="Z95" i="13"/>
  <c r="Z139" i="13"/>
  <c r="I12" i="15"/>
  <c r="Z140" i="13"/>
  <c r="Z70" i="13"/>
  <c r="N282" i="15" s="1"/>
  <c r="AD67" i="13"/>
  <c r="BG64" i="13"/>
  <c r="AD64" i="13"/>
  <c r="BK64" i="13" s="1"/>
  <c r="C15" i="15"/>
  <c r="E11" i="15"/>
  <c r="G11" i="15"/>
  <c r="I11" i="15"/>
  <c r="O156" i="12" l="1"/>
  <c r="Z101" i="13"/>
  <c r="AA138" i="13"/>
  <c r="AB138" i="13"/>
  <c r="AC138" i="13"/>
  <c r="K63" i="12"/>
  <c r="K67" i="12"/>
  <c r="J72" i="12"/>
  <c r="G1079" i="7"/>
  <c r="G1058" i="7"/>
  <c r="L8" i="12"/>
  <c r="L61" i="12"/>
  <c r="L44" i="12"/>
  <c r="L34" i="12"/>
  <c r="L59" i="12"/>
  <c r="N6" i="12"/>
  <c r="M7" i="12"/>
  <c r="M33" i="12"/>
  <c r="K223" i="12"/>
  <c r="J226" i="12"/>
  <c r="J228" i="12" s="1"/>
  <c r="C24" i="15"/>
  <c r="I24" i="15" s="1"/>
  <c r="N328" i="15"/>
  <c r="AD95" i="13"/>
  <c r="BK95" i="13" s="1"/>
  <c r="AD122" i="13"/>
  <c r="AD127" i="13" s="1"/>
  <c r="Z166" i="13"/>
  <c r="Z167" i="13" s="1"/>
  <c r="Z138" i="13"/>
  <c r="N327" i="15" s="1"/>
  <c r="Z124" i="13"/>
  <c r="Z129" i="13" s="1"/>
  <c r="BX139" i="13"/>
  <c r="BX140" i="13"/>
  <c r="AD70" i="13"/>
  <c r="P156" i="12" l="1"/>
  <c r="K226" i="12"/>
  <c r="K228" i="12" s="1"/>
  <c r="L223" i="12"/>
  <c r="L63" i="12"/>
  <c r="L67" i="12"/>
  <c r="M8" i="12"/>
  <c r="M44" i="12"/>
  <c r="M61" i="12"/>
  <c r="M34" i="12"/>
  <c r="M59" i="12"/>
  <c r="J74" i="12"/>
  <c r="O6" i="12"/>
  <c r="N7" i="12"/>
  <c r="N33" i="12"/>
  <c r="AD101" i="13"/>
  <c r="AD124" i="13"/>
  <c r="AD129" i="13" s="1"/>
  <c r="J78" i="12" l="1"/>
  <c r="J82" i="12" s="1"/>
  <c r="AE157" i="13"/>
  <c r="AE166" i="13" s="1"/>
  <c r="AD157" i="13"/>
  <c r="AD166" i="13" s="1"/>
  <c r="M63" i="12"/>
  <c r="M67" i="12"/>
  <c r="N61" i="12"/>
  <c r="N8" i="12"/>
  <c r="N44" i="12"/>
  <c r="N34" i="12"/>
  <c r="N59" i="12"/>
  <c r="P6" i="12"/>
  <c r="O7" i="12"/>
  <c r="O33" i="12"/>
  <c r="T22" i="6"/>
  <c r="T25" i="6" s="1"/>
  <c r="J83" i="12"/>
  <c r="J101" i="12" s="1"/>
  <c r="J236" i="12" s="1"/>
  <c r="M223" i="12"/>
  <c r="L226" i="12"/>
  <c r="L228" i="12" s="1"/>
  <c r="U33" i="6" l="1"/>
  <c r="S32" i="6"/>
  <c r="T44" i="6"/>
  <c r="J242" i="12"/>
  <c r="AE158" i="13"/>
  <c r="AD158" i="13"/>
  <c r="N63" i="12"/>
  <c r="N67" i="12"/>
  <c r="O61" i="12"/>
  <c r="O8" i="12"/>
  <c r="O44" i="12"/>
  <c r="O34" i="12"/>
  <c r="O59" i="12"/>
  <c r="P7" i="12"/>
  <c r="P33" i="12"/>
  <c r="N223" i="12"/>
  <c r="M226" i="12"/>
  <c r="M228" i="12" s="1"/>
  <c r="AE131" i="13"/>
  <c r="J98" i="12"/>
  <c r="F1055" i="7"/>
  <c r="F1062" i="7" s="1"/>
  <c r="T42" i="6"/>
  <c r="T41" i="6" s="1"/>
  <c r="K99" i="12" l="1"/>
  <c r="K94" i="12"/>
  <c r="K95" i="12"/>
  <c r="AF163" i="13" s="1"/>
  <c r="AE141" i="13"/>
  <c r="AE136" i="13"/>
  <c r="AE138" i="13"/>
  <c r="AD131" i="13"/>
  <c r="F8" i="10"/>
  <c r="J106" i="12"/>
  <c r="AE132" i="13" s="1"/>
  <c r="J240" i="12"/>
  <c r="J244" i="12" s="1"/>
  <c r="J245" i="12" s="1"/>
  <c r="J102" i="12"/>
  <c r="K69" i="12"/>
  <c r="AF153" i="13" s="1"/>
  <c r="T13" i="6"/>
  <c r="T48" i="6"/>
  <c r="O223" i="12"/>
  <c r="N226" i="12"/>
  <c r="N228" i="12" s="1"/>
  <c r="O63" i="12"/>
  <c r="O67" i="12"/>
  <c r="P61" i="12"/>
  <c r="P8" i="12"/>
  <c r="P44" i="12"/>
  <c r="P34" i="12"/>
  <c r="P59" i="12"/>
  <c r="U43" i="6"/>
  <c r="U14" i="6" l="1"/>
  <c r="AD11" i="8" s="1"/>
  <c r="AD138" i="13"/>
  <c r="AD141" i="13"/>
  <c r="AE140" i="13"/>
  <c r="AE139" i="13"/>
  <c r="T15" i="6"/>
  <c r="T46" i="6"/>
  <c r="T51" i="6" s="1"/>
  <c r="P63" i="12"/>
  <c r="P67" i="12"/>
  <c r="U21" i="6"/>
  <c r="K72" i="12"/>
  <c r="K74" i="12" s="1"/>
  <c r="AD132" i="13"/>
  <c r="J107" i="12"/>
  <c r="T47" i="6" s="1"/>
  <c r="T16" i="6"/>
  <c r="T37" i="6" s="1"/>
  <c r="P223" i="12"/>
  <c r="P226" i="12" s="1"/>
  <c r="P228" i="12" s="1"/>
  <c r="O226" i="12"/>
  <c r="O228" i="12" s="1"/>
  <c r="AD136" i="13"/>
  <c r="AF157" i="13" l="1"/>
  <c r="AF166" i="13" s="1"/>
  <c r="K83" i="12"/>
  <c r="K101" i="12" s="1"/>
  <c r="K236" i="12" s="1"/>
  <c r="T38" i="6"/>
  <c r="T39" i="6" s="1"/>
  <c r="T35" i="6"/>
  <c r="AD139" i="13"/>
  <c r="AD140" i="13"/>
  <c r="K78" i="12"/>
  <c r="AF158" i="13" s="1"/>
  <c r="U22" i="6"/>
  <c r="U25" i="6" s="1"/>
  <c r="T36" i="6"/>
  <c r="K98" i="12" l="1"/>
  <c r="AF131" i="13"/>
  <c r="U42" i="6"/>
  <c r="U41" i="6" s="1"/>
  <c r="G1055" i="7"/>
  <c r="K82" i="12"/>
  <c r="U44" i="6"/>
  <c r="K242" i="12"/>
  <c r="V33" i="6" l="1"/>
  <c r="T32" i="6"/>
  <c r="AF141" i="13"/>
  <c r="AF138" i="13"/>
  <c r="AF136" i="13"/>
  <c r="G1062" i="7"/>
  <c r="G1083" i="7"/>
  <c r="K106" i="12"/>
  <c r="AF132" i="13" s="1"/>
  <c r="K102" i="12"/>
  <c r="L69" i="12"/>
  <c r="K240" i="12"/>
  <c r="K244" i="12" s="1"/>
  <c r="K245" i="12" s="1"/>
  <c r="U13" i="6"/>
  <c r="U48" i="6"/>
  <c r="L94" i="12" l="1"/>
  <c r="L99" i="12"/>
  <c r="L95" i="12"/>
  <c r="AF139" i="13"/>
  <c r="AF140" i="13"/>
  <c r="K107" i="12"/>
  <c r="U47" i="6" s="1"/>
  <c r="U16" i="6"/>
  <c r="U37" i="6" s="1"/>
  <c r="U15" i="6"/>
  <c r="U46" i="6"/>
  <c r="U51" i="6" s="1"/>
  <c r="V21" i="6"/>
  <c r="L72" i="12"/>
  <c r="V14" i="6"/>
  <c r="AE11" i="8" s="1"/>
  <c r="V43" i="6"/>
  <c r="U35" i="6" l="1"/>
  <c r="U38" i="6"/>
  <c r="U39" i="6" s="1"/>
  <c r="L74" i="12"/>
  <c r="L78" i="12" s="1"/>
  <c r="U36" i="6"/>
  <c r="V44" i="6" l="1"/>
  <c r="L82" i="12"/>
  <c r="L242" i="12"/>
  <c r="V22" i="6"/>
  <c r="V25" i="6" s="1"/>
  <c r="V42" i="6" s="1"/>
  <c r="V41" i="6" s="1"/>
  <c r="L83" i="12"/>
  <c r="L101" i="12" s="1"/>
  <c r="L236" i="12" s="1"/>
  <c r="M94" i="12" l="1"/>
  <c r="U32" i="6"/>
  <c r="L98" i="12"/>
  <c r="M95" i="12" l="1"/>
  <c r="M99" i="12"/>
  <c r="V13" i="6"/>
  <c r="L106" i="12"/>
  <c r="L102" i="12"/>
  <c r="M69" i="12"/>
  <c r="M72" i="12" s="1"/>
  <c r="L240" i="12"/>
  <c r="L244" i="12" s="1"/>
  <c r="L245" i="12" s="1"/>
  <c r="V48" i="6"/>
  <c r="V46" i="6" l="1"/>
  <c r="V51" i="6" s="1"/>
  <c r="V15" i="6"/>
  <c r="M74" i="12"/>
  <c r="M83" i="12" s="1"/>
  <c r="M101" i="12" s="1"/>
  <c r="M236" i="12" s="1"/>
  <c r="V16" i="6"/>
  <c r="V37" i="6" s="1"/>
  <c r="L107" i="12"/>
  <c r="V47" i="6" s="1"/>
  <c r="V38" i="6" l="1"/>
  <c r="V39" i="6" s="1"/>
  <c r="V35" i="6"/>
  <c r="M78" i="12"/>
  <c r="M98" i="12"/>
  <c r="V36" i="6"/>
  <c r="N69" i="12" l="1"/>
  <c r="N72" i="12" s="1"/>
  <c r="M106" i="12"/>
  <c r="M107" i="12" s="1"/>
  <c r="M240" i="12"/>
  <c r="M102" i="12"/>
  <c r="M82" i="12"/>
  <c r="M242" i="12"/>
  <c r="V32" i="6" l="1"/>
  <c r="M244" i="12"/>
  <c r="M245" i="12" s="1"/>
  <c r="N99" i="12"/>
  <c r="N95" i="12"/>
  <c r="N94" i="12"/>
  <c r="N74" i="12"/>
  <c r="N83" i="12" s="1"/>
  <c r="N101" i="12" s="1"/>
  <c r="N236" i="12" s="1"/>
  <c r="N102" i="12" l="1"/>
  <c r="N78" i="12"/>
  <c r="N82" i="12" s="1"/>
  <c r="O99" i="12" s="1"/>
  <c r="N98" i="12"/>
  <c r="O69" i="12" l="1"/>
  <c r="O72" i="12" s="1"/>
  <c r="O74" i="12" s="1"/>
  <c r="O83" i="12" s="1"/>
  <c r="N106" i="12"/>
  <c r="N107" i="12" s="1"/>
  <c r="N240" i="12"/>
  <c r="N242" i="12"/>
  <c r="O94" i="12"/>
  <c r="O95" i="12"/>
  <c r="O101" i="12" l="1"/>
  <c r="O236" i="12" s="1"/>
  <c r="N244" i="12"/>
  <c r="N245" i="12" s="1"/>
  <c r="O78" i="12"/>
  <c r="O98" i="12"/>
  <c r="O102" i="12" l="1"/>
  <c r="P69" i="12"/>
  <c r="P72" i="12" s="1"/>
  <c r="P74" i="12" s="1"/>
  <c r="P83" i="12" s="1"/>
  <c r="O240" i="12"/>
  <c r="O106" i="12"/>
  <c r="O107" i="12" s="1"/>
  <c r="O82" i="12"/>
  <c r="O242" i="12"/>
  <c r="O244" i="12" l="1"/>
  <c r="O245" i="12" s="1"/>
  <c r="P78" i="12"/>
  <c r="P99" i="12"/>
  <c r="P95" i="12"/>
  <c r="P98" i="12" s="1"/>
  <c r="P94" i="12"/>
  <c r="P101" i="12" l="1"/>
  <c r="P236" i="12" s="1"/>
  <c r="P242" i="12"/>
  <c r="P82" i="12"/>
  <c r="P102" i="12" l="1"/>
  <c r="P106" i="12"/>
  <c r="P107" i="12" s="1"/>
  <c r="P240" i="12"/>
  <c r="P244" i="12" s="1"/>
  <c r="P245" i="12" s="1"/>
  <c r="U91" i="13"/>
  <c r="U81" i="13" l="1"/>
  <c r="U93" i="13" s="1"/>
  <c r="U123" i="13" s="1"/>
  <c r="U128" i="13" s="1"/>
  <c r="U98" i="13"/>
  <c r="U122" i="13"/>
  <c r="U127" i="13" s="1"/>
  <c r="V83" i="13"/>
  <c r="V91" i="13" s="1"/>
  <c r="U99" i="13" l="1"/>
  <c r="U95" i="13"/>
  <c r="BF95" i="13" s="1"/>
  <c r="V98" i="13"/>
  <c r="V122" i="13"/>
  <c r="V127" i="13" s="1"/>
  <c r="H136" i="12"/>
  <c r="T81" i="13"/>
  <c r="T91" i="13"/>
  <c r="V84" i="13"/>
  <c r="V81" i="13"/>
  <c r="V93" i="13" s="1"/>
  <c r="BB95" i="13" l="1"/>
  <c r="U166" i="13"/>
  <c r="U167" i="13" s="1"/>
  <c r="U101" i="13"/>
  <c r="U124" i="13"/>
  <c r="U129" i="13" s="1"/>
  <c r="V123" i="13"/>
  <c r="V128" i="13" s="1"/>
  <c r="V99" i="13"/>
  <c r="H166" i="12"/>
  <c r="T93" i="13"/>
  <c r="T95" i="13" s="1"/>
  <c r="V95" i="13"/>
  <c r="T122" i="13"/>
  <c r="T127" i="13" s="1"/>
  <c r="T98" i="13"/>
  <c r="H137" i="12"/>
  <c r="T166" i="13" l="1"/>
  <c r="T167" i="13" s="1"/>
  <c r="T124" i="13"/>
  <c r="T129" i="13" s="1"/>
  <c r="T138" i="13"/>
  <c r="H327" i="15" s="1"/>
  <c r="U138" i="13"/>
  <c r="I327" i="15" s="1"/>
  <c r="BA95" i="13"/>
  <c r="T101" i="13"/>
  <c r="V138" i="13"/>
  <c r="J327" i="15" s="1"/>
  <c r="W138" i="13"/>
  <c r="K327" i="15" s="1"/>
  <c r="BE95" i="13"/>
  <c r="V166" i="13"/>
  <c r="V167" i="13" s="1"/>
  <c r="V124" i="13"/>
  <c r="V129" i="13" s="1"/>
  <c r="BC95" i="13"/>
  <c r="V101" i="13"/>
  <c r="X138" i="13"/>
  <c r="L327" i="15" s="1"/>
  <c r="BG95" i="13"/>
  <c r="Y138" i="13"/>
  <c r="M327" i="15" s="1"/>
  <c r="H167" i="12"/>
  <c r="T99" i="13"/>
  <c r="T123" i="13"/>
  <c r="T128" i="13" s="1"/>
  <c r="H138" i="12"/>
  <c r="H144" i="12"/>
  <c r="H145" i="12" s="1"/>
  <c r="H21" i="10"/>
  <c r="H22" i="10" s="1"/>
  <c r="E3" i="10"/>
  <c r="E5" i="10" s="1"/>
  <c r="F5" i="10" s="1"/>
  <c r="BX138" i="13" l="1"/>
  <c r="H173" i="12"/>
  <c r="G45" i="10" s="1"/>
  <c r="H168" i="12"/>
  <c r="L1021" i="7"/>
  <c r="L1023" i="7" s="1"/>
  <c r="L1024" i="7" s="1"/>
  <c r="M1024" i="7" s="1"/>
  <c r="G48" i="10" l="1"/>
  <c r="G47" i="10" s="1"/>
  <c r="G49" i="10" l="1"/>
  <c r="G51" i="10" s="1"/>
  <c r="G53" i="10" s="1"/>
  <c r="H47" i="10"/>
  <c r="I47" i="10" l="1"/>
  <c r="H49" i="10"/>
  <c r="H51" i="10" s="1"/>
  <c r="H53" i="10" s="1"/>
  <c r="I49" i="10" l="1"/>
  <c r="I51" i="10" s="1"/>
  <c r="I53" i="10" s="1"/>
  <c r="J47" i="10"/>
  <c r="J49" i="10" l="1"/>
  <c r="J51" i="10" s="1"/>
  <c r="J53" i="10" s="1"/>
  <c r="K47" i="10"/>
  <c r="K49" i="10" l="1"/>
  <c r="K51" i="10" s="1"/>
  <c r="K53" i="10" s="1"/>
  <c r="L47" i="10"/>
  <c r="L49" i="10" l="1"/>
  <c r="L51" i="10" s="1"/>
  <c r="L53" i="10" s="1"/>
  <c r="M47" i="10"/>
  <c r="M49" i="10" l="1"/>
  <c r="M51" i="10" s="1"/>
  <c r="M53" i="10" s="1"/>
  <c r="N47" i="10"/>
  <c r="N49" i="10" l="1"/>
  <c r="N51" i="10" s="1"/>
  <c r="N53" i="10" s="1"/>
  <c r="O47" i="10"/>
  <c r="O49" i="10" l="1"/>
  <c r="O51" i="10" s="1"/>
  <c r="O53" i="10" s="1"/>
  <c r="P47" i="10"/>
  <c r="Q47" i="10" l="1"/>
  <c r="P49" i="10"/>
  <c r="P51" i="10" s="1"/>
  <c r="P53" i="10" s="1"/>
  <c r="Q49" i="10" l="1"/>
  <c r="Q51" i="10" s="1"/>
  <c r="Q53" i="10" s="1"/>
  <c r="R47" i="10"/>
  <c r="R49" i="10" l="1"/>
  <c r="R51" i="10" s="1"/>
  <c r="R53" i="10" s="1"/>
  <c r="S47" i="10"/>
  <c r="S49" i="10" l="1"/>
  <c r="S51" i="10" s="1"/>
  <c r="S53" i="10" s="1"/>
  <c r="T47" i="10"/>
  <c r="T49" i="10" l="1"/>
  <c r="T51" i="10" s="1"/>
  <c r="T53" i="10" s="1"/>
  <c r="U47" i="10"/>
  <c r="U49" i="10" s="1"/>
  <c r="U51" i="10" s="1"/>
  <c r="U53" i="10" s="1"/>
  <c r="C66" i="10" s="1"/>
  <c r="C69" i="10" l="1"/>
  <c r="C70" i="10" s="1"/>
  <c r="C71" i="10" l="1"/>
  <c r="F4" i="10" l="1"/>
  <c r="E4" i="10" s="1"/>
  <c r="C72" i="10"/>
  <c r="F6" i="10"/>
  <c r="G3" i="10" l="1"/>
  <c r="F10" i="10"/>
  <c r="F12" i="10" s="1"/>
  <c r="F14" i="10" s="1"/>
  <c r="F16" i="10" s="1"/>
  <c r="G5" i="10"/>
  <c r="G4" i="10"/>
  <c r="F182" i="12" l="1"/>
  <c r="F183" i="12" s="1"/>
  <c r="G182" i="12"/>
  <c r="G211" i="12" s="1"/>
  <c r="G183" i="12"/>
  <c r="F186" i="12"/>
  <c r="G186" i="12"/>
  <c r="H186" i="12"/>
  <c r="F197" i="12"/>
  <c r="F198" i="12" s="1"/>
  <c r="G197" i="12"/>
  <c r="F210" i="12"/>
  <c r="G210" i="12"/>
  <c r="F211" i="12"/>
  <c r="G198" i="12" l="1"/>
  <c r="H198" i="12"/>
  <c r="G58" i="7"/>
  <c r="C200" i="7"/>
  <c r="C206" i="7"/>
  <c r="J237" i="7"/>
  <c r="G496" i="7"/>
  <c r="H496" i="7"/>
  <c r="I496" i="7"/>
  <c r="J496" i="7"/>
  <c r="K496" i="7"/>
  <c r="L496" i="7"/>
  <c r="M496" i="7"/>
  <c r="G500" i="7"/>
  <c r="H500" i="7"/>
  <c r="I500" i="7"/>
  <c r="J500" i="7"/>
  <c r="K500" i="7"/>
  <c r="L500" i="7"/>
  <c r="M500" i="7"/>
  <c r="G501" i="7"/>
  <c r="H501" i="7"/>
  <c r="I501" i="7"/>
  <c r="J501" i="7"/>
  <c r="K501" i="7"/>
  <c r="L501" i="7"/>
  <c r="G504" i="7"/>
  <c r="H504" i="7"/>
  <c r="I504" i="7"/>
  <c r="J504" i="7"/>
  <c r="K504" i="7"/>
  <c r="L504" i="7"/>
  <c r="G505" i="7"/>
  <c r="H505" i="7"/>
  <c r="I505" i="7"/>
  <c r="J505" i="7"/>
  <c r="K505" i="7"/>
  <c r="L505" i="7"/>
  <c r="G506" i="7"/>
  <c r="H506" i="7"/>
  <c r="I506" i="7"/>
  <c r="J506" i="7"/>
  <c r="K506" i="7"/>
  <c r="L506" i="7"/>
  <c r="G507" i="7"/>
  <c r="H507" i="7"/>
  <c r="I507" i="7"/>
  <c r="J507" i="7"/>
  <c r="K507" i="7"/>
  <c r="L507" i="7"/>
  <c r="G508" i="7"/>
  <c r="H508" i="7"/>
  <c r="I508" i="7"/>
  <c r="J508" i="7"/>
  <c r="K508" i="7"/>
  <c r="L508" i="7"/>
  <c r="C716" i="7"/>
  <c r="C717" i="7"/>
  <c r="C718" i="7"/>
  <c r="C719" i="7"/>
  <c r="H730" i="7"/>
  <c r="I730" i="7"/>
  <c r="H731" i="7"/>
  <c r="H732" i="7"/>
  <c r="I732" i="7"/>
  <c r="H733" i="7"/>
  <c r="M738" i="7"/>
  <c r="N738" i="7"/>
  <c r="M739" i="7"/>
  <c r="N739" i="7"/>
  <c r="M741" i="7"/>
  <c r="N741" i="7"/>
  <c r="M742" i="7"/>
  <c r="N742" i="7"/>
  <c r="M743" i="7"/>
  <c r="N743" i="7"/>
  <c r="M748" i="7"/>
  <c r="N748" i="7"/>
  <c r="M753" i="7"/>
  <c r="N753" i="7"/>
  <c r="M754" i="7"/>
  <c r="N754" i="7"/>
  <c r="M755" i="7"/>
  <c r="N755" i="7"/>
  <c r="G790" i="7"/>
  <c r="H790" i="7"/>
  <c r="G791" i="7"/>
  <c r="H791" i="7"/>
  <c r="G792" i="7"/>
  <c r="H792" i="7"/>
  <c r="G793" i="7"/>
  <c r="H793" i="7"/>
  <c r="G795" i="7"/>
  <c r="H795" i="7"/>
  <c r="G796" i="7"/>
  <c r="H796" i="7"/>
  <c r="G808" i="7"/>
  <c r="H808" i="7"/>
  <c r="G809" i="7"/>
  <c r="H809" i="7"/>
  <c r="G811" i="7"/>
  <c r="H811" i="7"/>
  <c r="I833" i="7"/>
  <c r="J833" i="7"/>
  <c r="K833" i="7"/>
  <c r="L1027" i="7"/>
  <c r="H1045" i="7"/>
  <c r="I1045" i="7"/>
  <c r="X7" i="8"/>
  <c r="Y7" i="8"/>
  <c r="Z7" i="8"/>
  <c r="AA7" i="8"/>
  <c r="AB7" i="8"/>
  <c r="AC7" i="8"/>
  <c r="AD7" i="8"/>
  <c r="AE7" i="8"/>
  <c r="X14" i="8"/>
  <c r="Y14" i="8"/>
  <c r="Z14" i="8"/>
  <c r="AA14" i="8"/>
  <c r="AB14" i="8"/>
  <c r="AC14" i="8"/>
  <c r="AD14" i="8"/>
  <c r="AE14" i="8"/>
  <c r="X15" i="8"/>
  <c r="Y15" i="8"/>
  <c r="Z15" i="8"/>
  <c r="AA15" i="8"/>
  <c r="AB15" i="8"/>
  <c r="AC15" i="8"/>
  <c r="AD15" i="8"/>
  <c r="AE15" i="8"/>
  <c r="X18" i="8"/>
  <c r="Y18" i="8"/>
  <c r="Z18" i="8"/>
  <c r="AA18" i="8"/>
  <c r="AB18" i="8"/>
  <c r="AC18" i="8"/>
  <c r="AD18" i="8"/>
  <c r="AE18" i="8"/>
  <c r="X19" i="8"/>
  <c r="Y19" i="8"/>
  <c r="Z19" i="8"/>
  <c r="AA19" i="8"/>
  <c r="AB19" i="8"/>
  <c r="AC19" i="8"/>
  <c r="AD19" i="8"/>
  <c r="AE19" i="8"/>
  <c r="X20" i="8"/>
  <c r="Y20" i="8"/>
  <c r="Z20" i="8"/>
  <c r="AA20" i="8"/>
  <c r="AB20" i="8"/>
  <c r="AC20" i="8"/>
  <c r="AD20" i="8"/>
  <c r="AE20" i="8"/>
  <c r="X22" i="8"/>
  <c r="Y22" i="8"/>
  <c r="Z22" i="8"/>
  <c r="AA22" i="8"/>
  <c r="AB22" i="8"/>
  <c r="AC22" i="8"/>
  <c r="AD22" i="8"/>
  <c r="AE22" i="8"/>
  <c r="X23" i="8"/>
  <c r="Y23" i="8"/>
  <c r="Z23" i="8"/>
  <c r="AA23" i="8"/>
  <c r="AB23" i="8"/>
  <c r="AC23" i="8"/>
  <c r="AD23" i="8"/>
  <c r="AE23" i="8"/>
  <c r="X24" i="8"/>
  <c r="Y24" i="8"/>
  <c r="Z24" i="8"/>
  <c r="AA24" i="8"/>
  <c r="AB24" i="8"/>
  <c r="AC24" i="8"/>
  <c r="AD24" i="8"/>
  <c r="AE24" i="8"/>
  <c r="X25" i="8"/>
  <c r="Y25" i="8"/>
  <c r="Z25" i="8"/>
  <c r="AA25" i="8"/>
  <c r="AB25" i="8"/>
  <c r="AC25" i="8"/>
  <c r="AD25" i="8"/>
  <c r="AE25" i="8"/>
  <c r="X27" i="8"/>
  <c r="Y27" i="8"/>
  <c r="Z27" i="8"/>
  <c r="AA27" i="8"/>
  <c r="AB27" i="8"/>
  <c r="AC27" i="8"/>
  <c r="AD27" i="8"/>
  <c r="AE27" i="8"/>
  <c r="X28" i="8"/>
  <c r="Y28" i="8"/>
  <c r="Z28" i="8"/>
  <c r="AA28" i="8"/>
  <c r="AB28" i="8"/>
  <c r="AC28" i="8"/>
  <c r="AD28" i="8"/>
  <c r="AE28" i="8"/>
  <c r="X29" i="8"/>
  <c r="Y29" i="8"/>
  <c r="Z29" i="8"/>
  <c r="AA29" i="8"/>
  <c r="AB29" i="8"/>
  <c r="AC29" i="8"/>
  <c r="AD29" i="8"/>
  <c r="AE29" i="8"/>
  <c r="X30" i="8"/>
  <c r="Y30" i="8"/>
  <c r="Z30" i="8"/>
  <c r="AA30" i="8"/>
  <c r="AB30" i="8"/>
  <c r="AC30" i="8"/>
  <c r="AD30" i="8"/>
  <c r="AE30" i="8"/>
  <c r="X31" i="8"/>
  <c r="Y31" i="8"/>
  <c r="Z31" i="8"/>
  <c r="AA31" i="8"/>
  <c r="AB31" i="8"/>
  <c r="AC31" i="8"/>
  <c r="AD31" i="8"/>
  <c r="AE31" i="8"/>
  <c r="X33" i="8"/>
  <c r="Y33" i="8"/>
  <c r="Z33" i="8"/>
  <c r="AA33" i="8"/>
  <c r="AB33" i="8"/>
  <c r="AC33" i="8"/>
  <c r="AD33" i="8"/>
  <c r="AE33" i="8"/>
  <c r="X41" i="8"/>
  <c r="Y41" i="8"/>
  <c r="Z41" i="8"/>
  <c r="AA41" i="8"/>
  <c r="AB41" i="8"/>
  <c r="AC41" i="8"/>
  <c r="AD41" i="8"/>
  <c r="AE41" i="8"/>
  <c r="P42" i="8"/>
  <c r="X43" i="8"/>
  <c r="Y43" i="8"/>
  <c r="Z43" i="8"/>
  <c r="AA43" i="8"/>
  <c r="AB43" i="8"/>
  <c r="AC43" i="8"/>
  <c r="AD43" i="8"/>
  <c r="AE43" i="8"/>
  <c r="X45" i="8"/>
  <c r="Y45" i="8"/>
  <c r="Z45" i="8"/>
  <c r="AA45" i="8"/>
  <c r="AB45" i="8"/>
  <c r="AC45" i="8"/>
  <c r="AD45" i="8"/>
  <c r="AE45" i="8"/>
  <c r="X46" i="8"/>
  <c r="Y46" i="8"/>
  <c r="Z46" i="8"/>
  <c r="AA46" i="8"/>
  <c r="AB46" i="8"/>
  <c r="AC46" i="8"/>
  <c r="AD46" i="8"/>
  <c r="AE46" i="8"/>
  <c r="X47" i="8"/>
  <c r="Y47" i="8"/>
  <c r="Z47" i="8"/>
  <c r="AA47" i="8"/>
  <c r="AB47" i="8"/>
  <c r="AC47" i="8"/>
  <c r="AD47" i="8"/>
  <c r="AE47" i="8"/>
  <c r="P48" i="8"/>
  <c r="X49" i="8"/>
  <c r="Y49" i="8"/>
  <c r="Z49" i="8"/>
  <c r="AA49" i="8"/>
  <c r="AB49" i="8"/>
  <c r="AC49" i="8"/>
  <c r="AD49" i="8"/>
  <c r="AE49" i="8"/>
  <c r="P50" i="8"/>
  <c r="X51" i="8"/>
  <c r="Y51" i="8"/>
  <c r="Z51" i="8"/>
  <c r="AA51" i="8"/>
  <c r="AB51" i="8"/>
  <c r="AC51" i="8"/>
  <c r="AD51" i="8"/>
  <c r="AE51" i="8"/>
  <c r="X109" i="8"/>
  <c r="Y109" i="8"/>
  <c r="Z109" i="8"/>
  <c r="AA109" i="8"/>
  <c r="AB109" i="8"/>
  <c r="AC109" i="8"/>
  <c r="AD109" i="8"/>
  <c r="AE109" i="8"/>
  <c r="X110" i="8"/>
  <c r="Y110" i="8"/>
  <c r="Z110" i="8"/>
  <c r="AA110" i="8"/>
  <c r="AB110" i="8"/>
  <c r="AC110" i="8"/>
  <c r="AD110" i="8"/>
  <c r="AE110" i="8"/>
  <c r="X111" i="8"/>
  <c r="Y111" i="8"/>
  <c r="Z111" i="8"/>
  <c r="AA111" i="8"/>
  <c r="AB111" i="8"/>
  <c r="AC111" i="8"/>
  <c r="AD111" i="8"/>
  <c r="AE111" i="8"/>
  <c r="X114" i="8"/>
  <c r="Y114" i="8"/>
  <c r="Z114" i="8"/>
  <c r="AA114" i="8"/>
  <c r="AB114" i="8"/>
  <c r="AC114" i="8"/>
  <c r="AD114" i="8"/>
  <c r="AE114" i="8"/>
  <c r="X118" i="8"/>
  <c r="Y118" i="8"/>
  <c r="Z118" i="8"/>
  <c r="AA118" i="8"/>
  <c r="AB118" i="8"/>
  <c r="AC118" i="8"/>
  <c r="AD118" i="8"/>
  <c r="AE118" i="8"/>
  <c r="X119" i="8"/>
  <c r="Y119" i="8"/>
  <c r="Z119" i="8"/>
  <c r="AA119" i="8"/>
  <c r="AB119" i="8"/>
  <c r="AC119" i="8"/>
  <c r="AD119" i="8"/>
  <c r="AE119" i="8"/>
  <c r="X122" i="8"/>
  <c r="Y122" i="8"/>
  <c r="Z122" i="8"/>
  <c r="AA122" i="8"/>
  <c r="AB122" i="8"/>
  <c r="AC122" i="8"/>
  <c r="AD122" i="8"/>
  <c r="AE122" i="8"/>
  <c r="X132" i="8"/>
  <c r="Y132" i="8"/>
  <c r="Z132" i="8"/>
  <c r="AA132" i="8"/>
  <c r="AB132" i="8"/>
  <c r="AC132" i="8"/>
  <c r="AD132" i="8"/>
  <c r="AE132" i="8"/>
  <c r="X133" i="8"/>
  <c r="Y133" i="8"/>
  <c r="Z133" i="8"/>
  <c r="AA133" i="8"/>
  <c r="AB133" i="8"/>
  <c r="AC133" i="8"/>
  <c r="AD133" i="8"/>
  <c r="AE133" i="8"/>
  <c r="X137" i="8"/>
  <c r="Y137" i="8"/>
  <c r="Z137" i="8"/>
  <c r="AA137" i="8"/>
  <c r="AB137" i="8"/>
  <c r="AC137" i="8"/>
  <c r="AD137" i="8"/>
  <c r="AE137" i="8"/>
  <c r="P139" i="8"/>
  <c r="X140" i="8"/>
  <c r="Y140" i="8"/>
  <c r="Z140" i="8"/>
  <c r="AA140" i="8"/>
  <c r="AB140" i="8"/>
  <c r="AC140" i="8"/>
  <c r="AD140" i="8"/>
  <c r="AE140" i="8"/>
  <c r="X141" i="8"/>
  <c r="Y141" i="8"/>
  <c r="Z141" i="8"/>
  <c r="AA141" i="8"/>
  <c r="AB141" i="8"/>
  <c r="AC141" i="8"/>
  <c r="AD141" i="8"/>
  <c r="AE141" i="8"/>
  <c r="P142" i="8"/>
  <c r="X144" i="8"/>
  <c r="Y144" i="8"/>
  <c r="Z144" i="8"/>
  <c r="AA144" i="8"/>
  <c r="AB144" i="8"/>
  <c r="AC144" i="8"/>
  <c r="AD144" i="8"/>
  <c r="AE144" i="8"/>
  <c r="X148" i="8"/>
  <c r="Y148" i="8"/>
  <c r="Z148" i="8"/>
  <c r="AA148" i="8"/>
  <c r="AB148" i="8"/>
  <c r="AC148" i="8"/>
  <c r="AD148" i="8"/>
  <c r="AE148" i="8"/>
  <c r="W149" i="8"/>
  <c r="X149" i="8"/>
  <c r="Y149" i="8"/>
  <c r="Z149" i="8"/>
  <c r="AA149" i="8"/>
  <c r="AB149" i="8"/>
  <c r="AC149" i="8"/>
  <c r="AD149" i="8"/>
  <c r="AE149" i="8"/>
  <c r="W150" i="8"/>
  <c r="X150" i="8"/>
  <c r="Y150" i="8"/>
  <c r="Z150" i="8"/>
  <c r="AA150" i="8"/>
  <c r="AB150" i="8"/>
  <c r="AC150" i="8"/>
  <c r="AD150" i="8"/>
  <c r="AE150" i="8"/>
  <c r="X152" i="8"/>
  <c r="Y152" i="8"/>
  <c r="Z152" i="8"/>
  <c r="AA152" i="8"/>
  <c r="AB152" i="8"/>
  <c r="AC152" i="8"/>
  <c r="AD152" i="8"/>
  <c r="AE152" i="8"/>
  <c r="I191" i="8"/>
  <c r="V88" i="1"/>
  <c r="CG88" i="1"/>
  <c r="CK88" i="1"/>
  <c r="V89" i="1"/>
  <c r="V140" i="1"/>
  <c r="V144" i="1"/>
  <c r="V154" i="1"/>
  <c r="E151" i="12"/>
  <c r="F151" i="12"/>
  <c r="G151" i="12"/>
  <c r="E152" i="12"/>
  <c r="F152" i="12"/>
  <c r="G152" i="12"/>
  <c r="U92" i="5"/>
  <c r="V92" i="5"/>
  <c r="W92" i="5"/>
  <c r="X92" i="5"/>
  <c r="Y92" i="5"/>
  <c r="Z92" i="5"/>
  <c r="AA92" i="5"/>
  <c r="AB92" i="5"/>
  <c r="M119" i="5"/>
  <c r="M120" i="5"/>
  <c r="M128" i="5"/>
  <c r="M129" i="5"/>
  <c r="T150" i="5"/>
  <c r="U150" i="5"/>
  <c r="V150" i="5"/>
  <c r="W150" i="5"/>
  <c r="X150" i="5"/>
  <c r="Y150" i="5"/>
  <c r="Z150" i="5"/>
  <c r="AA150" i="5"/>
  <c r="AB150" i="5"/>
  <c r="T151" i="5"/>
  <c r="U151" i="5"/>
  <c r="V151" i="5"/>
  <c r="W151" i="5"/>
  <c r="X151" i="5"/>
  <c r="Y151" i="5"/>
  <c r="Z151" i="5"/>
  <c r="AA151" i="5"/>
  <c r="AB151" i="5"/>
  <c r="T166" i="5"/>
  <c r="U166" i="5"/>
  <c r="V166" i="5"/>
  <c r="W166" i="5"/>
  <c r="X166" i="5"/>
  <c r="Y166" i="5"/>
  <c r="Z166" i="5"/>
  <c r="AA166" i="5"/>
  <c r="AB166" i="5"/>
  <c r="T167" i="5"/>
  <c r="U168" i="5"/>
  <c r="V168" i="5"/>
  <c r="W168" i="5"/>
  <c r="X168" i="5"/>
  <c r="Y168" i="5"/>
  <c r="Z168" i="5"/>
  <c r="AA168" i="5"/>
  <c r="AB168" i="5"/>
  <c r="U169" i="5"/>
  <c r="V169" i="5"/>
  <c r="W169" i="5"/>
  <c r="X169" i="5"/>
  <c r="Y169" i="5"/>
  <c r="Z169" i="5"/>
  <c r="AA169" i="5"/>
  <c r="AB169" i="5"/>
  <c r="U176" i="5"/>
  <c r="V176" i="5"/>
  <c r="W176" i="5"/>
  <c r="X176" i="5"/>
  <c r="Y176" i="5"/>
  <c r="Z176" i="5"/>
  <c r="AA176" i="5"/>
  <c r="AB176" i="5"/>
  <c r="T186" i="5"/>
  <c r="U186" i="5"/>
  <c r="V186" i="5"/>
  <c r="W186" i="5"/>
  <c r="X186" i="5"/>
  <c r="Y186" i="5"/>
  <c r="Z186" i="5"/>
  <c r="AA186" i="5"/>
  <c r="AB186" i="5"/>
  <c r="T187" i="5"/>
  <c r="U188" i="5"/>
  <c r="V188" i="5"/>
  <c r="W188" i="5"/>
  <c r="X188" i="5"/>
  <c r="Y188" i="5"/>
  <c r="Z188" i="5"/>
  <c r="AA188" i="5"/>
  <c r="AB188" i="5"/>
  <c r="U189" i="5"/>
  <c r="V189" i="5"/>
  <c r="W189" i="5"/>
  <c r="X189" i="5"/>
  <c r="Y189" i="5"/>
  <c r="Z189" i="5"/>
  <c r="AA189" i="5"/>
  <c r="AB189" i="5"/>
  <c r="U190" i="5"/>
  <c r="V190" i="5"/>
  <c r="W190" i="5"/>
  <c r="X190" i="5"/>
  <c r="Y190" i="5"/>
  <c r="Z190" i="5"/>
  <c r="AA190" i="5"/>
  <c r="AB190" i="5"/>
  <c r="U191" i="5"/>
  <c r="V191" i="5"/>
  <c r="W191" i="5"/>
  <c r="X191" i="5"/>
  <c r="Y191" i="5"/>
  <c r="Z191" i="5"/>
  <c r="AA191" i="5"/>
  <c r="AB191" i="5"/>
  <c r="U202" i="5"/>
  <c r="V202" i="5"/>
  <c r="W202" i="5"/>
  <c r="X202" i="5"/>
  <c r="Y202" i="5"/>
  <c r="Z202" i="5"/>
  <c r="AA202" i="5"/>
  <c r="AB202" i="5"/>
  <c r="U203" i="5"/>
  <c r="V203" i="5"/>
  <c r="W203" i="5"/>
  <c r="X203" i="5"/>
  <c r="Y203" i="5"/>
  <c r="Z203" i="5"/>
  <c r="AA203" i="5"/>
  <c r="AB203" i="5"/>
  <c r="U208" i="5"/>
  <c r="V208" i="5"/>
  <c r="W208" i="5"/>
  <c r="X208" i="5"/>
  <c r="Y208" i="5"/>
  <c r="Z208" i="5"/>
  <c r="AA208" i="5"/>
  <c r="AB208" i="5"/>
  <c r="U211" i="5"/>
  <c r="V211" i="5"/>
  <c r="W211" i="5"/>
  <c r="X211" i="5"/>
  <c r="Y211" i="5"/>
  <c r="Z211" i="5"/>
  <c r="AA211" i="5"/>
  <c r="AB211" i="5"/>
  <c r="U217" i="5"/>
  <c r="V217" i="5"/>
  <c r="W217" i="5"/>
  <c r="X217" i="5"/>
  <c r="Y217" i="5"/>
  <c r="Z217" i="5"/>
  <c r="AA217" i="5"/>
  <c r="AB217" i="5"/>
  <c r="U219" i="5"/>
  <c r="V219" i="5"/>
  <c r="W219" i="5"/>
  <c r="X219" i="5"/>
  <c r="Y219" i="5"/>
  <c r="Z219" i="5"/>
  <c r="AA219" i="5"/>
  <c r="AB219" i="5"/>
  <c r="U221" i="5"/>
  <c r="V221" i="5"/>
  <c r="W221" i="5"/>
  <c r="X221" i="5"/>
  <c r="Y221" i="5"/>
  <c r="Z221" i="5"/>
  <c r="AA221" i="5"/>
  <c r="AB221" i="5"/>
  <c r="U222" i="5"/>
  <c r="V222" i="5"/>
  <c r="W222" i="5"/>
  <c r="X222" i="5"/>
  <c r="Y222" i="5"/>
  <c r="Z222" i="5"/>
  <c r="AA222" i="5"/>
  <c r="AB222" i="5"/>
  <c r="U223" i="5"/>
  <c r="V223" i="5"/>
  <c r="W223" i="5"/>
  <c r="X223" i="5"/>
  <c r="Y223" i="5"/>
  <c r="Z223" i="5"/>
  <c r="AA223" i="5"/>
  <c r="AB223" i="5"/>
  <c r="U224" i="5"/>
  <c r="V224" i="5"/>
  <c r="W224" i="5"/>
  <c r="X224" i="5"/>
  <c r="Y224" i="5"/>
  <c r="Z224" i="5"/>
  <c r="AA224" i="5"/>
  <c r="AB224" i="5"/>
  <c r="U225" i="5"/>
  <c r="V225" i="5"/>
  <c r="W225" i="5"/>
  <c r="X225" i="5"/>
  <c r="Y225" i="5"/>
  <c r="Z225" i="5"/>
  <c r="AA225" i="5"/>
  <c r="AB225" i="5"/>
  <c r="U226" i="5"/>
  <c r="V226" i="5"/>
  <c r="W226" i="5"/>
  <c r="X226" i="5"/>
  <c r="Y226" i="5"/>
  <c r="Z226" i="5"/>
  <c r="AA226" i="5"/>
  <c r="AB226" i="5"/>
  <c r="M228" i="5"/>
  <c r="U229" i="5"/>
  <c r="V229" i="5"/>
  <c r="W229" i="5"/>
  <c r="X229" i="5"/>
  <c r="Y229" i="5"/>
  <c r="Z229" i="5"/>
  <c r="AA229" i="5"/>
  <c r="AB229" i="5"/>
  <c r="U231" i="5"/>
  <c r="V231" i="5"/>
  <c r="W231" i="5"/>
  <c r="X231" i="5"/>
  <c r="Y231" i="5"/>
  <c r="Z231" i="5"/>
  <c r="AA231" i="5"/>
  <c r="AB231" i="5"/>
  <c r="M232" i="5"/>
  <c r="U233" i="5"/>
  <c r="V233" i="5"/>
  <c r="W233" i="5"/>
  <c r="X233" i="5"/>
  <c r="Y233" i="5"/>
  <c r="Z233" i="5"/>
  <c r="AA233" i="5"/>
  <c r="AB233" i="5"/>
  <c r="U234" i="5"/>
  <c r="V234" i="5"/>
  <c r="W234" i="5"/>
  <c r="X234" i="5"/>
  <c r="Y234" i="5"/>
  <c r="Z234" i="5"/>
  <c r="AA234" i="5"/>
  <c r="AB234" i="5"/>
  <c r="M236" i="5"/>
  <c r="U236" i="5"/>
  <c r="V236" i="5"/>
  <c r="W236" i="5"/>
  <c r="X236" i="5"/>
  <c r="Y236" i="5"/>
  <c r="Z236" i="5"/>
  <c r="AA236" i="5"/>
  <c r="AB236" i="5"/>
  <c r="M238" i="5"/>
  <c r="U239" i="5"/>
  <c r="V239" i="5"/>
  <c r="W239" i="5"/>
  <c r="X239" i="5"/>
  <c r="Y239" i="5"/>
  <c r="Z239" i="5"/>
  <c r="AA239" i="5"/>
  <c r="AB239" i="5"/>
  <c r="U241" i="5"/>
  <c r="V241" i="5"/>
  <c r="W241" i="5"/>
  <c r="X241" i="5"/>
  <c r="Y241" i="5"/>
  <c r="Z241" i="5"/>
  <c r="AA241" i="5"/>
  <c r="AB241" i="5"/>
  <c r="M242" i="5"/>
  <c r="U243" i="5"/>
  <c r="V243" i="5"/>
  <c r="W243" i="5"/>
  <c r="X243" i="5"/>
  <c r="Y243" i="5"/>
  <c r="Z243" i="5"/>
  <c r="AA243" i="5"/>
  <c r="AB243" i="5"/>
  <c r="M244" i="5"/>
  <c r="U244" i="5"/>
  <c r="V244" i="5"/>
  <c r="W244" i="5"/>
  <c r="X244" i="5"/>
  <c r="Y244" i="5"/>
  <c r="Z244" i="5"/>
  <c r="AA244" i="5"/>
  <c r="AB244" i="5"/>
  <c r="U247" i="5"/>
  <c r="V247" i="5"/>
  <c r="W247" i="5"/>
  <c r="X247" i="5"/>
  <c r="Y247" i="5"/>
  <c r="Z247" i="5"/>
  <c r="AA247" i="5"/>
  <c r="AB247" i="5"/>
  <c r="T248" i="5"/>
  <c r="U248" i="5"/>
  <c r="V248" i="5"/>
  <c r="W248" i="5"/>
  <c r="X248" i="5"/>
  <c r="Y248" i="5"/>
  <c r="Z248" i="5"/>
  <c r="AA248" i="5"/>
  <c r="AB248" i="5"/>
  <c r="T250" i="5"/>
  <c r="U250" i="5"/>
  <c r="V250" i="5"/>
  <c r="W250" i="5"/>
  <c r="X250" i="5"/>
  <c r="Y250" i="5"/>
  <c r="Z250" i="5"/>
  <c r="AA250" i="5"/>
  <c r="AB250" i="5"/>
  <c r="U251" i="5"/>
  <c r="V251" i="5"/>
  <c r="W251" i="5"/>
  <c r="X251" i="5"/>
  <c r="Y251" i="5"/>
  <c r="Z251" i="5"/>
  <c r="AA251" i="5"/>
  <c r="AB251" i="5"/>
  <c r="U252" i="5"/>
  <c r="V252" i="5"/>
  <c r="W252" i="5"/>
  <c r="X252" i="5"/>
  <c r="Y252" i="5"/>
  <c r="Z252" i="5"/>
  <c r="AA252" i="5"/>
  <c r="AB252" i="5"/>
  <c r="U253" i="5"/>
  <c r="V253" i="5"/>
  <c r="W253" i="5"/>
  <c r="X253" i="5"/>
  <c r="Y253" i="5"/>
  <c r="Z253" i="5"/>
  <c r="AA253" i="5"/>
  <c r="AB253" i="5"/>
  <c r="U255" i="5"/>
  <c r="V255" i="5"/>
  <c r="W255" i="5"/>
  <c r="X255" i="5"/>
  <c r="Y255" i="5"/>
  <c r="Z255" i="5"/>
  <c r="AA255" i="5"/>
  <c r="AB255" i="5"/>
  <c r="U256" i="5"/>
  <c r="V256" i="5"/>
  <c r="W256" i="5"/>
  <c r="X256" i="5"/>
  <c r="Y256" i="5"/>
  <c r="Z256" i="5"/>
  <c r="AA256" i="5"/>
  <c r="AB256" i="5"/>
  <c r="T257" i="5"/>
  <c r="U257" i="5"/>
  <c r="V257" i="5"/>
  <c r="W257" i="5"/>
  <c r="X257" i="5"/>
  <c r="Y257" i="5"/>
  <c r="Z257" i="5"/>
  <c r="AA257" i="5"/>
  <c r="AB257" i="5"/>
  <c r="T258" i="5"/>
  <c r="U258" i="5"/>
  <c r="V258" i="5"/>
  <c r="W258" i="5"/>
  <c r="X258" i="5"/>
  <c r="Y258" i="5"/>
  <c r="Z258" i="5"/>
  <c r="AA258" i="5"/>
  <c r="AB258" i="5"/>
  <c r="T261" i="5"/>
  <c r="U261" i="5"/>
  <c r="V261" i="5"/>
  <c r="W261" i="5"/>
  <c r="X261" i="5"/>
  <c r="Y261" i="5"/>
  <c r="Z261" i="5"/>
  <c r="AA261" i="5"/>
  <c r="AB261" i="5"/>
  <c r="T263" i="5"/>
  <c r="U263" i="5"/>
  <c r="V263" i="5"/>
  <c r="W263" i="5"/>
  <c r="X263" i="5"/>
  <c r="Y263" i="5"/>
  <c r="Z263" i="5"/>
  <c r="AA263" i="5"/>
  <c r="AB263" i="5"/>
  <c r="U264" i="5"/>
  <c r="V264" i="5"/>
  <c r="W264" i="5"/>
  <c r="X264" i="5"/>
  <c r="Y264" i="5"/>
  <c r="Z264" i="5"/>
  <c r="AA264" i="5"/>
  <c r="AB264" i="5"/>
  <c r="V266" i="5"/>
  <c r="U267" i="5"/>
  <c r="V267" i="5"/>
  <c r="W267" i="5"/>
  <c r="X267" i="5"/>
  <c r="Y267" i="5"/>
  <c r="Z267" i="5"/>
  <c r="AA267" i="5"/>
  <c r="AB267" i="5"/>
  <c r="U268" i="5"/>
  <c r="V268" i="5"/>
  <c r="W268" i="5"/>
  <c r="X268" i="5"/>
  <c r="Y268" i="5"/>
  <c r="Z268" i="5"/>
  <c r="AA268" i="5"/>
  <c r="AB268" i="5"/>
  <c r="T269" i="5"/>
  <c r="U269" i="5"/>
  <c r="V269" i="5"/>
  <c r="W269" i="5"/>
  <c r="X269" i="5"/>
  <c r="Y269" i="5"/>
  <c r="Z269" i="5"/>
  <c r="AA269" i="5"/>
  <c r="AB269" i="5"/>
  <c r="U270" i="5"/>
  <c r="V270" i="5"/>
  <c r="W270" i="5"/>
  <c r="X270" i="5"/>
  <c r="Y270" i="5"/>
  <c r="Z270" i="5"/>
  <c r="AA270" i="5"/>
  <c r="AB270" i="5"/>
  <c r="T271" i="5"/>
  <c r="U271" i="5"/>
  <c r="V271" i="5"/>
  <c r="W271" i="5"/>
  <c r="X271" i="5"/>
  <c r="Y271" i="5"/>
  <c r="Z271" i="5"/>
  <c r="AA271" i="5"/>
  <c r="AB271" i="5"/>
  <c r="U272" i="5"/>
  <c r="V272" i="5"/>
  <c r="W272" i="5"/>
  <c r="X272" i="5"/>
  <c r="Y272" i="5"/>
  <c r="Z272" i="5"/>
  <c r="AA272" i="5"/>
  <c r="AB272" i="5"/>
  <c r="U273" i="5"/>
  <c r="V273" i="5"/>
  <c r="W273" i="5"/>
  <c r="X273" i="5"/>
  <c r="Y273" i="5"/>
  <c r="Z273" i="5"/>
  <c r="AA273" i="5"/>
  <c r="AB273" i="5"/>
  <c r="U274" i="5"/>
  <c r="V274" i="5"/>
  <c r="W274" i="5"/>
  <c r="X274" i="5"/>
  <c r="Y274" i="5"/>
  <c r="Z274" i="5"/>
  <c r="AA274" i="5"/>
  <c r="AB274" i="5"/>
  <c r="M276" i="5"/>
  <c r="U277" i="5"/>
  <c r="V277" i="5"/>
  <c r="W277" i="5"/>
  <c r="X277" i="5"/>
  <c r="Y277" i="5"/>
  <c r="Z277" i="5"/>
  <c r="AA277" i="5"/>
  <c r="AB277" i="5"/>
  <c r="T278" i="5"/>
  <c r="U278" i="5"/>
  <c r="V278" i="5"/>
  <c r="W278" i="5"/>
  <c r="X278" i="5"/>
  <c r="Y278" i="5"/>
  <c r="Z278" i="5"/>
  <c r="AA278" i="5"/>
  <c r="AB278" i="5"/>
  <c r="U279" i="5"/>
  <c r="V279" i="5"/>
  <c r="W279" i="5"/>
  <c r="X279" i="5"/>
  <c r="Y279" i="5"/>
  <c r="Z279" i="5"/>
  <c r="AA279" i="5"/>
  <c r="AB279" i="5"/>
  <c r="M280" i="5"/>
  <c r="T280" i="5"/>
  <c r="U280" i="5"/>
  <c r="V280" i="5"/>
  <c r="W280" i="5"/>
  <c r="X280" i="5"/>
  <c r="Y280" i="5"/>
  <c r="Z280" i="5"/>
  <c r="AA280" i="5"/>
  <c r="AB280" i="5"/>
  <c r="U281" i="5"/>
  <c r="V281" i="5"/>
  <c r="W281" i="5"/>
  <c r="X281" i="5"/>
  <c r="Y281" i="5"/>
  <c r="Z281" i="5"/>
  <c r="AA281" i="5"/>
  <c r="AB281" i="5"/>
  <c r="U282" i="5"/>
  <c r="V282" i="5"/>
  <c r="W282" i="5"/>
  <c r="X282" i="5"/>
  <c r="Y282" i="5"/>
  <c r="Z282" i="5"/>
  <c r="AA282" i="5"/>
  <c r="AB282" i="5"/>
  <c r="M283" i="5"/>
  <c r="T283" i="5"/>
  <c r="U283" i="5"/>
  <c r="V283" i="5"/>
  <c r="W283" i="5"/>
  <c r="X283" i="5"/>
  <c r="Y283" i="5"/>
  <c r="Z283" i="5"/>
  <c r="AA283" i="5"/>
  <c r="AB283" i="5"/>
  <c r="M284" i="5"/>
  <c r="T284" i="5"/>
  <c r="U284" i="5"/>
  <c r="V284" i="5"/>
  <c r="W284" i="5"/>
  <c r="X284" i="5"/>
  <c r="Y284" i="5"/>
  <c r="Z284" i="5"/>
  <c r="AA284" i="5"/>
  <c r="AB284" i="5"/>
  <c r="U286" i="5"/>
  <c r="V286" i="5"/>
  <c r="W286" i="5"/>
  <c r="X286" i="5"/>
  <c r="Y286" i="5"/>
  <c r="Z286" i="5"/>
  <c r="AA286" i="5"/>
  <c r="AB286" i="5"/>
  <c r="U288" i="5"/>
  <c r="V288" i="5"/>
  <c r="W288" i="5"/>
  <c r="X288" i="5"/>
  <c r="Y288" i="5"/>
  <c r="Z288" i="5"/>
  <c r="AA288" i="5"/>
  <c r="AB288" i="5"/>
  <c r="U291" i="5"/>
  <c r="V291" i="5"/>
  <c r="W291" i="5"/>
  <c r="X291" i="5"/>
  <c r="Y291" i="5"/>
  <c r="Z291" i="5"/>
  <c r="AA291" i="5"/>
  <c r="AB291" i="5"/>
  <c r="U293" i="5"/>
  <c r="V293" i="5"/>
  <c r="W293" i="5"/>
  <c r="X293" i="5"/>
  <c r="Y293" i="5"/>
  <c r="Z293" i="5"/>
  <c r="AA293" i="5"/>
  <c r="AB293" i="5"/>
  <c r="U296" i="5"/>
  <c r="V296" i="5"/>
  <c r="W296" i="5"/>
  <c r="X296" i="5"/>
  <c r="Y296" i="5"/>
  <c r="Z296" i="5"/>
  <c r="AA296" i="5"/>
  <c r="AB296" i="5"/>
  <c r="U298" i="5"/>
  <c r="V298" i="5"/>
  <c r="W298" i="5"/>
  <c r="X298" i="5"/>
  <c r="Y298" i="5"/>
  <c r="Z298" i="5"/>
  <c r="AA298" i="5"/>
  <c r="AB298" i="5"/>
  <c r="U302" i="5"/>
  <c r="V302" i="5"/>
  <c r="W302" i="5"/>
  <c r="X302" i="5"/>
  <c r="Y302" i="5"/>
  <c r="Z302" i="5"/>
  <c r="AA302" i="5"/>
  <c r="AB302" i="5"/>
  <c r="U304" i="5"/>
  <c r="V304" i="5"/>
  <c r="W304" i="5"/>
  <c r="X304" i="5"/>
  <c r="Y304" i="5"/>
  <c r="Z304" i="5"/>
  <c r="AA304" i="5"/>
  <c r="AB304" i="5"/>
  <c r="U305" i="5"/>
  <c r="V305" i="5"/>
  <c r="W305" i="5"/>
  <c r="X305" i="5"/>
  <c r="Y305" i="5"/>
  <c r="Z305" i="5"/>
  <c r="AA305" i="5"/>
  <c r="AB305" i="5"/>
  <c r="U320" i="5"/>
  <c r="V320" i="5"/>
  <c r="W320" i="5"/>
  <c r="X320" i="5"/>
  <c r="Y320" i="5"/>
  <c r="Z320" i="5"/>
  <c r="AA320" i="5"/>
  <c r="AB320" i="5"/>
  <c r="V321" i="5"/>
  <c r="W321" i="5"/>
  <c r="X321" i="5"/>
  <c r="Y321" i="5"/>
  <c r="Z321" i="5"/>
  <c r="AA321" i="5"/>
  <c r="AB321" i="5"/>
  <c r="U323" i="5"/>
  <c r="V323" i="5"/>
  <c r="W323" i="5"/>
  <c r="X323" i="5"/>
  <c r="Y323" i="5"/>
  <c r="Z323" i="5"/>
  <c r="AA323" i="5"/>
  <c r="AB323" i="5"/>
  <c r="U324" i="5"/>
  <c r="V324" i="5"/>
  <c r="W324" i="5"/>
  <c r="X324" i="5"/>
  <c r="Y324" i="5"/>
  <c r="Z324" i="5"/>
  <c r="AA324" i="5"/>
  <c r="AB324" i="5"/>
  <c r="U327" i="5"/>
  <c r="V327" i="5"/>
  <c r="W327" i="5"/>
  <c r="X327" i="5"/>
  <c r="Y327" i="5"/>
  <c r="Z327" i="5"/>
  <c r="AA327" i="5"/>
  <c r="AB327" i="5"/>
  <c r="U338" i="5"/>
  <c r="V338" i="5"/>
  <c r="W338" i="5"/>
  <c r="X338" i="5"/>
  <c r="Y338" i="5"/>
  <c r="Z338" i="5"/>
  <c r="AA338" i="5"/>
  <c r="AB338" i="5"/>
  <c r="U341" i="5"/>
  <c r="V341" i="5"/>
  <c r="W341" i="5"/>
  <c r="X341" i="5"/>
  <c r="Y341" i="5"/>
  <c r="Z341" i="5"/>
  <c r="AA341" i="5"/>
  <c r="AB341" i="5"/>
  <c r="U343" i="5"/>
  <c r="V343" i="5"/>
  <c r="W343" i="5"/>
  <c r="X343" i="5"/>
  <c r="Y343" i="5"/>
  <c r="Z343" i="5"/>
  <c r="AA343" i="5"/>
  <c r="AB343" i="5"/>
  <c r="U350" i="5"/>
  <c r="V350" i="5"/>
  <c r="W350" i="5"/>
  <c r="X350" i="5"/>
  <c r="Y350" i="5"/>
  <c r="Z350" i="5"/>
  <c r="AA350" i="5"/>
  <c r="AB350" i="5"/>
  <c r="U353" i="5"/>
  <c r="V353" i="5"/>
  <c r="W353" i="5"/>
  <c r="X353" i="5"/>
  <c r="Y353" i="5"/>
  <c r="Z353" i="5"/>
  <c r="AA353" i="5"/>
  <c r="AB353" i="5"/>
  <c r="U355" i="5"/>
  <c r="V355" i="5"/>
  <c r="W355" i="5"/>
  <c r="X355" i="5"/>
  <c r="Y355" i="5"/>
  <c r="Z355" i="5"/>
  <c r="AA355" i="5"/>
  <c r="AB355" i="5"/>
  <c r="U356" i="5"/>
  <c r="V356" i="5"/>
  <c r="W356" i="5"/>
  <c r="X356" i="5"/>
  <c r="Y356" i="5"/>
  <c r="Z356" i="5"/>
  <c r="AA356" i="5"/>
  <c r="AB356" i="5"/>
  <c r="U357" i="5"/>
  <c r="V357" i="5"/>
  <c r="W357" i="5"/>
  <c r="X357" i="5"/>
  <c r="Y357" i="5"/>
  <c r="Z357" i="5"/>
  <c r="AA357" i="5"/>
  <c r="AB357" i="5"/>
  <c r="M365" i="5"/>
  <c r="U365" i="5"/>
  <c r="V365" i="5"/>
  <c r="W365" i="5"/>
  <c r="X365" i="5"/>
  <c r="Y365" i="5"/>
  <c r="Z365" i="5"/>
  <c r="AA365" i="5"/>
  <c r="AB365" i="5"/>
  <c r="T366" i="5"/>
  <c r="U366" i="5"/>
  <c r="V366" i="5"/>
  <c r="W366" i="5"/>
  <c r="X366" i="5"/>
  <c r="Y366" i="5"/>
  <c r="Z366" i="5"/>
  <c r="AA366" i="5"/>
  <c r="AB366" i="5"/>
  <c r="M368" i="5"/>
  <c r="T368" i="5"/>
  <c r="U368" i="5"/>
  <c r="V368" i="5"/>
  <c r="W368" i="5"/>
  <c r="X368" i="5"/>
  <c r="Y368" i="5"/>
  <c r="Z368" i="5"/>
  <c r="AA368" i="5"/>
  <c r="AB368" i="5"/>
  <c r="M369" i="5"/>
  <c r="T369" i="5"/>
  <c r="U369" i="5"/>
  <c r="V369" i="5"/>
  <c r="W369" i="5"/>
  <c r="X369" i="5"/>
  <c r="Y369" i="5"/>
  <c r="Z369" i="5"/>
  <c r="AA369" i="5"/>
  <c r="AB369" i="5"/>
  <c r="O373" i="5"/>
  <c r="O376" i="5"/>
  <c r="O377" i="5"/>
  <c r="O378" i="5"/>
  <c r="T395" i="5"/>
  <c r="U395" i="5"/>
  <c r="V395" i="5"/>
  <c r="W395" i="5"/>
  <c r="X395" i="5"/>
  <c r="Y395" i="5"/>
  <c r="Z395" i="5"/>
  <c r="AA395" i="5"/>
  <c r="AB395" i="5"/>
  <c r="T396" i="5"/>
  <c r="U396" i="5"/>
  <c r="V396" i="5"/>
  <c r="W396" i="5"/>
  <c r="X396" i="5"/>
  <c r="Y396" i="5"/>
  <c r="Z396" i="5"/>
  <c r="AA396" i="5"/>
  <c r="AB396" i="5"/>
  <c r="T397" i="5"/>
  <c r="U397" i="5"/>
  <c r="V397" i="5"/>
  <c r="W397" i="5"/>
  <c r="X397" i="5"/>
  <c r="Y397" i="5"/>
  <c r="Z397" i="5"/>
  <c r="AA397" i="5"/>
  <c r="AB397" i="5"/>
  <c r="O401" i="5"/>
  <c r="O404" i="5"/>
  <c r="O405" i="5"/>
  <c r="O406" i="5"/>
  <c r="U4" i="9"/>
  <c r="V4" i="9"/>
  <c r="W4" i="9"/>
  <c r="X4" i="9"/>
  <c r="Y4" i="9"/>
  <c r="Z4" i="9"/>
  <c r="AA4" i="9"/>
  <c r="AB4" i="9"/>
  <c r="U5" i="9"/>
  <c r="V5" i="9"/>
  <c r="W5" i="9"/>
  <c r="X5" i="9"/>
  <c r="Y5" i="9"/>
  <c r="Z5" i="9"/>
  <c r="AA5" i="9"/>
  <c r="AB5" i="9"/>
  <c r="U7" i="9"/>
  <c r="V7" i="9"/>
  <c r="W7" i="9"/>
  <c r="X7" i="9"/>
  <c r="Y7" i="9"/>
  <c r="Z7" i="9"/>
  <c r="AA7" i="9"/>
  <c r="AB7" i="9"/>
  <c r="U8" i="9"/>
  <c r="V8" i="9"/>
  <c r="W8" i="9"/>
  <c r="X8" i="9"/>
  <c r="Y8" i="9"/>
  <c r="Z8" i="9"/>
  <c r="AA8" i="9"/>
  <c r="AB8" i="9"/>
  <c r="U9" i="9"/>
  <c r="V9" i="9"/>
  <c r="W9" i="9"/>
  <c r="X9" i="9"/>
  <c r="Y9" i="9"/>
  <c r="Z9" i="9"/>
  <c r="AA9" i="9"/>
  <c r="AB9" i="9"/>
  <c r="U13" i="9"/>
  <c r="V13" i="9"/>
  <c r="W13" i="9"/>
  <c r="X13" i="9"/>
  <c r="Y13" i="9"/>
  <c r="Z13" i="9"/>
  <c r="AA13" i="9"/>
  <c r="AB13" i="9"/>
  <c r="U15" i="9"/>
  <c r="V15" i="9"/>
  <c r="W15" i="9"/>
  <c r="X15" i="9"/>
  <c r="Y15" i="9"/>
  <c r="Z15" i="9"/>
  <c r="AA15" i="9"/>
  <c r="AB15" i="9"/>
  <c r="U16" i="9"/>
  <c r="V16" i="9"/>
  <c r="W16" i="9"/>
  <c r="X16" i="9"/>
  <c r="Y16" i="9"/>
  <c r="Z16" i="9"/>
  <c r="AA16" i="9"/>
  <c r="AB16" i="9"/>
  <c r="U17" i="9"/>
  <c r="V17" i="9"/>
  <c r="W17" i="9"/>
  <c r="X17" i="9"/>
  <c r="Y17" i="9"/>
  <c r="Z17" i="9"/>
  <c r="AA17" i="9"/>
  <c r="AB17" i="9"/>
  <c r="U20" i="9"/>
  <c r="V20" i="9"/>
  <c r="W20" i="9"/>
  <c r="X20" i="9"/>
  <c r="Y20" i="9"/>
  <c r="Z20" i="9"/>
  <c r="AA20" i="9"/>
  <c r="AB20" i="9"/>
  <c r="U21" i="9"/>
  <c r="V21" i="9"/>
  <c r="W21" i="9"/>
  <c r="X21" i="9"/>
  <c r="Y21" i="9"/>
  <c r="Z21" i="9"/>
  <c r="AA21" i="9"/>
  <c r="AB21" i="9"/>
  <c r="U22" i="9"/>
  <c r="V22" i="9"/>
  <c r="W22" i="9"/>
  <c r="X22" i="9"/>
  <c r="Y22" i="9"/>
  <c r="Z22" i="9"/>
  <c r="AA22" i="9"/>
  <c r="AB22" i="9"/>
  <c r="U28" i="9"/>
  <c r="V28" i="9"/>
  <c r="W28" i="9"/>
  <c r="X28" i="9"/>
  <c r="Y28" i="9"/>
  <c r="Z28" i="9"/>
  <c r="AA28" i="9"/>
  <c r="AB28" i="9"/>
  <c r="U30" i="9"/>
  <c r="V30" i="9"/>
  <c r="W30" i="9"/>
  <c r="X30" i="9"/>
  <c r="Y30" i="9"/>
  <c r="Z30" i="9"/>
  <c r="AA30" i="9"/>
  <c r="AB30" i="9"/>
  <c r="U34" i="9"/>
  <c r="V34" i="9"/>
  <c r="W34" i="9"/>
  <c r="X34" i="9"/>
  <c r="Y34" i="9"/>
  <c r="Z34" i="9"/>
  <c r="AA34" i="9"/>
  <c r="AB34" i="9"/>
  <c r="U37" i="9"/>
  <c r="V37" i="9"/>
  <c r="W37" i="9"/>
  <c r="X37" i="9"/>
  <c r="Y37" i="9"/>
  <c r="Z37" i="9"/>
  <c r="AA37" i="9"/>
  <c r="AB37" i="9"/>
  <c r="U38" i="9"/>
  <c r="V38" i="9"/>
  <c r="W38" i="9"/>
  <c r="X38" i="9"/>
  <c r="Y38" i="9"/>
  <c r="Z38" i="9"/>
  <c r="AA38" i="9"/>
  <c r="AB38" i="9"/>
  <c r="U40" i="9"/>
  <c r="V40" i="9"/>
  <c r="W40" i="9"/>
  <c r="X40" i="9"/>
  <c r="Y40" i="9"/>
  <c r="Z40" i="9"/>
  <c r="AA40" i="9"/>
  <c r="AB40" i="9"/>
  <c r="Q129" i="9"/>
  <c r="R129" i="9"/>
  <c r="S129" i="9"/>
  <c r="T129" i="9"/>
  <c r="U129" i="9"/>
  <c r="V129" i="9"/>
  <c r="W129" i="9"/>
  <c r="X129" i="9"/>
  <c r="Y129" i="9"/>
  <c r="Z129" i="9"/>
  <c r="AA129" i="9"/>
  <c r="AB129" i="9"/>
  <c r="Q130" i="9"/>
  <c r="R130" i="9"/>
  <c r="S130" i="9"/>
  <c r="T130" i="9"/>
  <c r="Q133" i="9"/>
  <c r="R133" i="9"/>
  <c r="S133" i="9"/>
  <c r="T133" i="9"/>
  <c r="U133" i="9"/>
  <c r="V133" i="9"/>
  <c r="W133" i="9"/>
  <c r="X133" i="9"/>
  <c r="Y133" i="9"/>
  <c r="Z133" i="9"/>
  <c r="AA133" i="9"/>
  <c r="AB133" i="9"/>
  <c r="Q134" i="9"/>
  <c r="R134" i="9"/>
  <c r="S134" i="9"/>
  <c r="T134" i="9"/>
  <c r="U134" i="9"/>
  <c r="V134" i="9"/>
  <c r="W134" i="9"/>
  <c r="X134" i="9"/>
  <c r="Y134" i="9"/>
  <c r="Z134" i="9"/>
  <c r="AA134" i="9"/>
  <c r="AB134" i="9"/>
  <c r="Q136" i="9"/>
  <c r="R136" i="9"/>
  <c r="S136" i="9"/>
  <c r="T136" i="9"/>
  <c r="U136" i="9"/>
  <c r="V136" i="9"/>
  <c r="W136" i="9"/>
  <c r="X136" i="9"/>
  <c r="Y136" i="9"/>
  <c r="Z136" i="9"/>
  <c r="AA136" i="9"/>
  <c r="AB136" i="9"/>
  <c r="Q137" i="9"/>
  <c r="R137" i="9"/>
  <c r="S137" i="9"/>
  <c r="T137" i="9"/>
  <c r="U137" i="9"/>
  <c r="V137" i="9"/>
  <c r="W137" i="9"/>
  <c r="X137" i="9"/>
  <c r="Y137" i="9"/>
  <c r="Z137" i="9"/>
  <c r="AA137" i="9"/>
  <c r="AB137" i="9"/>
  <c r="Q139" i="9"/>
  <c r="R139" i="9"/>
  <c r="S139" i="9"/>
  <c r="T139" i="9"/>
  <c r="U139" i="9"/>
  <c r="V139" i="9"/>
  <c r="W139" i="9"/>
  <c r="X139" i="9"/>
  <c r="Y139" i="9"/>
  <c r="Z139" i="9"/>
  <c r="AA139" i="9"/>
  <c r="AB139" i="9"/>
  <c r="Q140" i="9"/>
  <c r="R140" i="9"/>
  <c r="S140" i="9"/>
  <c r="T140" i="9"/>
  <c r="U140" i="9"/>
  <c r="V140" i="9"/>
  <c r="W140" i="9"/>
  <c r="X140" i="9"/>
  <c r="Y140" i="9"/>
  <c r="Z140" i="9"/>
  <c r="AA140" i="9"/>
  <c r="AB140" i="9"/>
  <c r="U145" i="9"/>
  <c r="V145" i="9"/>
  <c r="W145" i="9"/>
  <c r="X145" i="9"/>
  <c r="Y145" i="9"/>
  <c r="Z145" i="9"/>
  <c r="AA145" i="9"/>
  <c r="AB145" i="9"/>
  <c r="U147" i="9"/>
  <c r="V147" i="9"/>
  <c r="W147" i="9"/>
  <c r="X147" i="9"/>
  <c r="Y147" i="9"/>
  <c r="Z147" i="9"/>
  <c r="AA147" i="9"/>
  <c r="AB147" i="9"/>
  <c r="U148" i="9"/>
  <c r="V148" i="9"/>
  <c r="W148" i="9"/>
  <c r="X148" i="9"/>
  <c r="Y148" i="9"/>
  <c r="Z148" i="9"/>
  <c r="AA148" i="9"/>
  <c r="AB148" i="9"/>
  <c r="U149" i="9"/>
  <c r="V149" i="9"/>
  <c r="W149" i="9"/>
  <c r="X149" i="9"/>
  <c r="Y149" i="9"/>
  <c r="Z149" i="9"/>
  <c r="AA149" i="9"/>
  <c r="AB149" i="9"/>
  <c r="U150" i="9"/>
  <c r="V150" i="9"/>
  <c r="W150" i="9"/>
  <c r="X150" i="9"/>
  <c r="Y150" i="9"/>
  <c r="Z150" i="9"/>
  <c r="AA150" i="9"/>
  <c r="AB150" i="9"/>
  <c r="U162" i="9"/>
  <c r="V162" i="9"/>
  <c r="W162" i="9"/>
  <c r="X162" i="9"/>
  <c r="Y162" i="9"/>
  <c r="Z162" i="9"/>
  <c r="AA162" i="9"/>
  <c r="AB162" i="9"/>
  <c r="U164" i="9"/>
  <c r="V164" i="9"/>
  <c r="W164" i="9"/>
  <c r="X164" i="9"/>
  <c r="Y164" i="9"/>
  <c r="Z164" i="9"/>
  <c r="AA164" i="9"/>
  <c r="AB164" i="9"/>
  <c r="U165" i="9"/>
  <c r="V165" i="9"/>
  <c r="W165" i="9"/>
  <c r="X165" i="9"/>
  <c r="Y165" i="9"/>
  <c r="Z165" i="9"/>
  <c r="AA165" i="9"/>
  <c r="AB165" i="9"/>
  <c r="U169" i="9"/>
  <c r="V169" i="9"/>
  <c r="W169" i="9"/>
  <c r="X169" i="9"/>
  <c r="Y169" i="9"/>
  <c r="Z169" i="9"/>
  <c r="AA169" i="9"/>
  <c r="AB169" i="9"/>
  <c r="U177" i="9"/>
  <c r="V177" i="9"/>
  <c r="W177" i="9"/>
  <c r="X177" i="9"/>
  <c r="Y177" i="9"/>
  <c r="Z177" i="9"/>
  <c r="AA177" i="9"/>
  <c r="AB177" i="9"/>
  <c r="U178" i="9"/>
  <c r="V178" i="9"/>
  <c r="W178" i="9"/>
  <c r="X178" i="9"/>
  <c r="Y178" i="9"/>
  <c r="Z178" i="9"/>
  <c r="AA178" i="9"/>
  <c r="AB178" i="9"/>
  <c r="U179" i="9"/>
  <c r="V179" i="9"/>
  <c r="W179" i="9"/>
  <c r="X179" i="9"/>
  <c r="Y179" i="9"/>
  <c r="Z179" i="9"/>
  <c r="AA179" i="9"/>
  <c r="AB179" i="9"/>
  <c r="Q180" i="9"/>
  <c r="R180" i="9"/>
  <c r="S180" i="9"/>
  <c r="T180" i="9"/>
  <c r="U180" i="9"/>
  <c r="V180" i="9"/>
  <c r="W180" i="9"/>
  <c r="X180" i="9"/>
  <c r="Y180" i="9"/>
  <c r="Z180" i="9"/>
  <c r="AA180" i="9"/>
  <c r="AB180" i="9"/>
  <c r="U188" i="9"/>
  <c r="V188" i="9"/>
  <c r="W188" i="9"/>
  <c r="X188" i="9"/>
  <c r="Y188" i="9"/>
  <c r="Z188" i="9"/>
  <c r="AA188" i="9"/>
  <c r="AB188" i="9"/>
  <c r="U194" i="9"/>
  <c r="V194" i="9"/>
  <c r="W194" i="9"/>
  <c r="X194" i="9"/>
  <c r="Y194" i="9"/>
  <c r="Z194" i="9"/>
  <c r="AA194" i="9"/>
  <c r="AB194" i="9"/>
  <c r="U195" i="9"/>
  <c r="V195" i="9"/>
  <c r="W195" i="9"/>
  <c r="X195" i="9"/>
  <c r="Y195" i="9"/>
  <c r="Z195" i="9"/>
  <c r="AA195" i="9"/>
  <c r="AB195" i="9"/>
  <c r="U202" i="9"/>
  <c r="V202" i="9"/>
  <c r="W202" i="9"/>
  <c r="X202" i="9"/>
  <c r="Y202" i="9"/>
  <c r="Z202" i="9"/>
  <c r="AA202" i="9"/>
  <c r="AB202" i="9"/>
  <c r="U207" i="9"/>
  <c r="V207" i="9"/>
  <c r="W207" i="9"/>
  <c r="X207" i="9"/>
  <c r="Y207" i="9"/>
  <c r="Z207" i="9"/>
  <c r="AA207" i="9"/>
  <c r="AB207" i="9"/>
  <c r="U209" i="9"/>
  <c r="V209" i="9"/>
  <c r="W209" i="9"/>
  <c r="X209" i="9"/>
  <c r="Y209" i="9"/>
  <c r="Z209" i="9"/>
  <c r="AA209" i="9"/>
  <c r="AB209" i="9"/>
  <c r="U210" i="9"/>
  <c r="V210" i="9"/>
  <c r="W210" i="9"/>
  <c r="X210" i="9"/>
  <c r="Y210" i="9"/>
  <c r="Z210" i="9"/>
  <c r="AA210" i="9"/>
  <c r="AB210" i="9"/>
  <c r="N213" i="9"/>
  <c r="N215" i="9"/>
  <c r="N216" i="9"/>
  <c r="N217" i="9"/>
  <c r="N218" i="9"/>
  <c r="S218" i="9"/>
  <c r="S225" i="9"/>
  <c r="C235" i="9"/>
  <c r="C241" i="9"/>
  <c r="O241" i="9"/>
  <c r="C242" i="9"/>
  <c r="C24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Soomit Datta</author>
    <author>David</author>
  </authors>
  <commentList>
    <comment ref="E7" authorId="0" shapeId="0" xr:uid="{2EC751DC-4679-4BEA-9809-E24ACD79995D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Tower sales</t>
        </r>
      </text>
    </comment>
    <comment ref="G28" authorId="0" shapeId="0" xr:uid="{69F1823A-1B6F-483F-BD46-C53F350DC54D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From Carmen</t>
        </r>
      </text>
    </comment>
    <comment ref="H66" authorId="0" shapeId="0" xr:uid="{6FE6E2B5-657E-438D-818B-816638FCBEF1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Gain on sale of data centres (pre-tax)</t>
        </r>
      </text>
    </comment>
    <comment ref="H84" authorId="0" shapeId="0" xr:uid="{4DC08F0A-7206-4033-A720-2919311F8A3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Including FX move on debt</t>
        </r>
      </text>
    </comment>
    <comment ref="G86" authorId="0" shapeId="0" xr:uid="{F9A8482E-F781-4351-BE95-F44EAD637F52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Licence costs</t>
        </r>
      </text>
    </comment>
    <comment ref="H86" authorId="0" shapeId="0" xr:uid="{FDAE21D2-7A97-4A36-B295-0EA5251213E3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Pre-tax data centre proceeds</t>
        </r>
      </text>
    </comment>
    <comment ref="I86" authorId="1" shapeId="0" xr:uid="{0119DCAF-1970-4042-B882-5293491397B8}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Fibre sale (Chile)</t>
        </r>
      </text>
    </comment>
    <comment ref="I106" authorId="1" shapeId="0" xr:uid="{0A2D2202-65B0-4EF6-82A1-3782AE86C160}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not reported</t>
        </r>
      </text>
    </comment>
    <comment ref="I116" authorId="1" shapeId="0" xr:uid="{ABF256C1-5046-4033-9454-3FA3C458D5C6}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2 quarters for DC sale to lap but price increeases in Sept-22 and  Nov-22 </t>
        </r>
      </text>
    </comment>
    <comment ref="I119" authorId="1" shapeId="0" xr:uid="{1534C6FA-584D-44F0-825A-A67E169E3736}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52.3bn fibre sale </t>
        </r>
      </text>
    </comment>
    <comment ref="H136" authorId="0" shapeId="0" xr:uid="{B6D5D044-0EC2-499D-98A1-570CEBB75231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Data centre sale (~CLP25 billion extra lease cost / annum)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Soomit Datta</author>
    <author>David</author>
  </authors>
  <commentList>
    <comment ref="J6" authorId="0" shapeId="0" xr:uid="{E83C21CE-78B8-4F10-8502-B22F044A337F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Stripped out tower sale (not call centre)</t>
        </r>
      </text>
    </comment>
    <comment ref="T13" authorId="0" shapeId="0" xr:uid="{9E518B70-A52D-4E16-A0C9-8768F66873DA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First tranche of data centre sale in Chile </t>
        </r>
      </text>
    </comment>
    <comment ref="U13" authorId="1" shapeId="0" xr:uid="{6F0B35FD-CEF6-4EBB-AC3C-006F50C5D32D}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Sale of DC in Peru</t>
        </r>
      </text>
    </comment>
    <comment ref="U40" authorId="1" shapeId="0" xr:uid="{3DC4A45D-320E-4415-B81C-DC4489E77938}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Sale of DC</t>
        </r>
      </text>
    </comment>
    <comment ref="T42" authorId="1" shapeId="0" xr:uid="{A46F52CB-214C-45CE-B85D-5EB442803A4D}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Sale DC first tranche</t>
        </r>
      </text>
    </comment>
    <comment ref="Z49" authorId="1" shapeId="0" xr:uid="{216FF6AE-C9A0-483E-9E23-35AF773D8FB0}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Fibre sale</t>
        </r>
      </text>
    </comment>
    <comment ref="T50" authorId="0" shapeId="0" xr:uid="{B5629C5F-2A7D-4184-B80A-D03C2E416E6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First tranche of data center sale</t>
        </r>
      </text>
    </comment>
    <comment ref="W50" authorId="0" shapeId="0" xr:uid="{F8158932-D3CA-466F-922F-BA1DB3542B36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restructuring provision</t>
        </r>
      </text>
    </comment>
    <comment ref="J52" authorId="0" shapeId="0" xr:uid="{3E5D6CC8-DA1E-421B-B7AD-993E2AF8E52B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$6.6m restructuring costs</t>
        </r>
      </text>
    </comment>
    <comment ref="O52" authorId="0" shapeId="0" xr:uid="{E68E2A8E-ED07-4814-A8A5-AFFC73D5ED0B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P52" authorId="0" shapeId="0" xr:uid="{48067D9F-791D-4108-A4BC-01596B0B3A79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U52" authorId="0" shapeId="0" xr:uid="{5AA6B13B-994D-4F27-8A1D-7EB1CB316D65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Sale of DC in Peru</t>
        </r>
      </text>
    </comment>
    <comment ref="W52" authorId="0" shapeId="0" xr:uid="{C1606223-84C0-4A31-86D3-74BA88ABFC1A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restructuring charge (3500) and provision for bad debt (handset financing)</t>
        </r>
      </text>
    </comment>
    <comment ref="BB61" authorId="0" shapeId="0" xr:uid="{FC628D27-532A-4976-969F-6CCAFBDB68D6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Reported at -19% y/y pre adjustments in Q4 22</t>
        </r>
      </text>
    </comment>
    <comment ref="BC61" authorId="0" shapeId="0" xr:uid="{C559758A-138E-4A20-AAB2-F4FBC669644F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Reported at -19% y/y pre adjustments in Q4 22</t>
        </r>
      </text>
    </comment>
    <comment ref="K83" authorId="0" shapeId="0" xr:uid="{2F9C8C44-06A0-4028-B5EB-415E281DE0E4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Soomit Datta</author>
    <author>David</author>
  </authors>
  <commentList>
    <comment ref="W1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8900 previously</t>
        </r>
      </text>
    </comment>
    <comment ref="X1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8900 previously</t>
        </r>
      </text>
    </comment>
    <comment ref="Y1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8900 previously</t>
        </r>
      </text>
    </comment>
    <comment ref="Z1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8900 previously</t>
        </r>
      </text>
    </comment>
    <comment ref="AA15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restated for own customer revenue only</t>
        </r>
      </text>
    </comment>
    <comment ref="AB15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restated for own customer revenue only</t>
        </r>
      </text>
    </comment>
    <comment ref="AC15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restated for own customer revenue only</t>
        </r>
      </text>
    </comment>
    <comment ref="AD15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restated for own customer revenue only</t>
        </r>
      </text>
    </comment>
    <comment ref="AE15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restated for own customer revenue only</t>
        </r>
      </text>
    </comment>
    <comment ref="AF15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restated for own customer revenue only</t>
        </r>
      </text>
    </comment>
    <comment ref="AG15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restated for own customer revenue only</t>
        </r>
      </text>
    </comment>
    <comment ref="AU25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"pro forma Q1 18"</t>
        </r>
      </text>
    </comment>
    <comment ref="G85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restatement</t>
        </r>
      </text>
    </comment>
    <comment ref="AP105" authorId="0" shapeId="0" xr:uid="{00000000-0006-0000-0500-00000E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one off</t>
        </r>
      </text>
    </comment>
    <comment ref="AC126" authorId="0" shapeId="0" xr:uid="{00000000-0006-0000-0500-00000F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1 month of Nextel Peru</t>
        </r>
      </text>
    </comment>
    <comment ref="AP128" authorId="0" shapeId="0" xr:uid="{00000000-0006-0000-0500-000010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one off</t>
        </r>
      </text>
    </comment>
    <comment ref="AP145" authorId="0" shapeId="0" xr:uid="{00000000-0006-0000-0500-000011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one off</t>
        </r>
      </text>
    </comment>
    <comment ref="BA145" authorId="0" shapeId="0" xr:uid="{6789F63E-7EBF-41CA-8FFC-5267B86E3F89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IFRS16 adjustment, plus restructuring charges added back</t>
        </r>
      </text>
    </comment>
    <comment ref="AC164" authorId="0" shapeId="0" xr:uid="{00000000-0006-0000-0500-000012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Stripping out 4G spectrum costs in Peru</t>
        </r>
      </text>
    </comment>
    <comment ref="AD164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Stripping out 4G spectrum costs in Peru</t>
        </r>
      </text>
    </comment>
    <comment ref="X188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Includes CHP2.9bn one-off charge reported in EBITDA</t>
        </r>
      </text>
    </comment>
    <comment ref="AP189" authorId="0" shapeId="0" xr:uid="{00000000-0006-0000-0500-000015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3G equipment charge in Peru</t>
        </r>
      </text>
    </comment>
    <comment ref="AE19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4G spectrum in Chile</t>
        </r>
      </text>
    </comment>
    <comment ref="BO248" authorId="1" shapeId="0" xr:uid="{ED6014DE-F1FC-4347-94B2-66F450E9B422}">
      <text>
        <r>
          <rPr>
            <b/>
            <sz val="9"/>
            <color indexed="81"/>
            <rFont val="Tahoma"/>
            <family val="2"/>
          </rPr>
          <t>David:</t>
        </r>
        <r>
          <rPr>
            <sz val="9"/>
            <color indexed="81"/>
            <rFont val="Tahoma"/>
            <family val="2"/>
          </rPr>
          <t xml:space="preserve">
NOK$ file -&gt;</t>
        </r>
      </text>
    </comment>
    <comment ref="AU251" authorId="0" shapeId="0" xr:uid="{282CA093-8DBA-42E6-80A0-F637582BE058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67% MTR cut</t>
        </r>
      </text>
    </comment>
    <comment ref="AY251" authorId="0" shapeId="0" xr:uid="{42057C21-1741-4ECB-A448-2A902552EA18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56% MTR cut (better y/y comp)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Soomit Datta</author>
  </authors>
  <commentList>
    <comment ref="G51" authorId="0" shapeId="0" xr:uid="{1DB7F41F-0BE1-451F-A910-3EE01F2AA847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17% including handset sales</t>
        </r>
      </text>
    </comment>
    <comment ref="H51" authorId="0" shapeId="0" xr:uid="{8869ED28-1287-4C2E-9252-9CA723FF92CF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35% including handset sales</t>
        </r>
      </text>
    </comment>
    <comment ref="G52" authorId="0" shapeId="0" xr:uid="{E34F549C-EDB4-4DD2-ADF2-B29820976FCC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17% including handset sales</t>
        </r>
      </text>
    </comment>
    <comment ref="H52" authorId="0" shapeId="0" xr:uid="{B0EA9FFA-2100-4B2A-BA88-72DA29F63654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35% including handset sales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Soomit Datta</author>
  </authors>
  <commentList>
    <comment ref="D544" authorId="0" shapeId="0" xr:uid="{EF39B572-0FE1-4B64-8C2E-D049A24F1361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to match quoted USD price at the time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sdatta</author>
  </authors>
  <commentList>
    <comment ref="J5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sdatta:</t>
        </r>
        <r>
          <rPr>
            <sz val="8"/>
            <color indexed="81"/>
            <rFont val="Tahoma"/>
            <family val="2"/>
          </rPr>
          <t xml:space="preserve">
5m total market potential from June 09 pressie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Soomit Datta</author>
  </authors>
  <commentList>
    <comment ref="G638" authorId="0" shapeId="0" xr:uid="{B65EFA94-D326-4C66-8775-1FA65D57F7A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8 MHz used by private fixed operators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Soomit Datta</author>
  </authors>
  <commentList>
    <comment ref="N1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New accounting from 1 October 2012</t>
        </r>
      </text>
    </comment>
    <comment ref="H11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From 2006 press release.
263,151 according to 2007</t>
        </r>
      </text>
    </comment>
    <comment ref="I11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Taken from 2008 press release. 295,167 according to 2007 press release</t>
        </r>
      </text>
    </comment>
    <comment ref="N11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New accounting from 1 October 2012</t>
        </r>
      </text>
    </comment>
    <comment ref="L15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Acquisition of Transam added c.40,000 residential LIS</t>
        </r>
      </text>
    </comment>
    <comment ref="O18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O18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Basic HD plan = CHP16,900. Higher plan, CHP22,900</t>
        </r>
      </text>
    </comment>
    <comment ref="N22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New accounting from 1 October 2012</t>
        </r>
      </text>
    </comment>
    <comment ref="O22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targeting double digit revenue growth going forward</t>
        </r>
      </text>
    </comment>
    <comment ref="N23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New accounting from 1 October 2012</t>
        </r>
      </text>
    </comment>
    <comment ref="O24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V26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5 year</t>
        </r>
      </text>
    </comment>
    <comment ref="N29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Official rate 17%</t>
        </r>
      </text>
    </comment>
    <comment ref="O29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Raised on Jan 1 2013</t>
        </r>
      </text>
    </comment>
    <comment ref="P29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Step up to 25% Chile tax rate</t>
        </r>
      </text>
    </comment>
    <comment ref="Q299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Chile rate</t>
        </r>
      </text>
    </comment>
    <comment ref="S299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reflects blend for Peru</t>
        </r>
      </text>
    </comment>
    <comment ref="O308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Nextel Peru and Peru 4G spectrum</t>
        </r>
      </text>
    </comment>
    <comment ref="P308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Chile 700MHz</t>
        </r>
      </text>
    </comment>
    <comment ref="R308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Peru 700 MHz, $290.2m</t>
        </r>
      </text>
    </comment>
    <comment ref="R313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98% of subscribed to amount</t>
        </r>
      </text>
    </comment>
    <comment ref="L317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December </t>
        </r>
      </text>
    </comment>
    <comment ref="M317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December </t>
        </r>
      </text>
    </comment>
    <comment ref="N317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December </t>
        </r>
      </text>
    </comment>
    <comment ref="K318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May and December</t>
        </r>
      </text>
    </comment>
    <comment ref="L318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May</t>
        </r>
      </text>
    </comment>
    <comment ref="M318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May</t>
        </r>
      </text>
    </comment>
    <comment ref="N318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May</t>
        </r>
      </text>
    </comment>
    <comment ref="Q350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Soomit Datta:</t>
        </r>
        <r>
          <rPr>
            <sz val="9"/>
            <color indexed="81"/>
            <rFont val="Tahoma"/>
            <family val="2"/>
          </rPr>
          <t xml:space="preserve">
adjusted by derivative position to derive reported net debt</t>
        </r>
      </text>
    </comment>
  </commentList>
</comments>
</file>

<file path=xl/sharedStrings.xml><?xml version="1.0" encoding="utf-8"?>
<sst xmlns="http://schemas.openxmlformats.org/spreadsheetml/2006/main" count="4819" uniqueCount="3355">
  <si>
    <t>Subs</t>
  </si>
  <si>
    <t xml:space="preserve"> of which post-pay</t>
  </si>
  <si>
    <t>as % total</t>
  </si>
  <si>
    <t>Churn</t>
  </si>
  <si>
    <t>EBITDA</t>
  </si>
  <si>
    <t>% margin</t>
  </si>
  <si>
    <t>Q1 09</t>
  </si>
  <si>
    <t>Q2 09</t>
  </si>
  <si>
    <t>Q3 09</t>
  </si>
  <si>
    <t>Q4 09</t>
  </si>
  <si>
    <t>Q1 10</t>
  </si>
  <si>
    <t>Q2 10</t>
  </si>
  <si>
    <t>Q3 10</t>
  </si>
  <si>
    <t>Q4 10</t>
  </si>
  <si>
    <t>Q1 11</t>
  </si>
  <si>
    <t>Q2 11</t>
  </si>
  <si>
    <t>Q3 11</t>
  </si>
  <si>
    <t>Elims</t>
  </si>
  <si>
    <t>Data service, inc IT</t>
  </si>
  <si>
    <t>Local telephony</t>
  </si>
  <si>
    <t>Other</t>
  </si>
  <si>
    <t>Chile wireline gross</t>
  </si>
  <si>
    <t>Chile wireline net</t>
  </si>
  <si>
    <t>Long distance</t>
  </si>
  <si>
    <t>Internet</t>
  </si>
  <si>
    <t>Chile mobile net</t>
  </si>
  <si>
    <t>Peru revs gross</t>
  </si>
  <si>
    <t>Peru revs net</t>
  </si>
  <si>
    <t>Chile mobile</t>
  </si>
  <si>
    <t>Chile fixed</t>
  </si>
  <si>
    <t>Peru</t>
  </si>
  <si>
    <t>Total revs</t>
  </si>
  <si>
    <t>Other/elims</t>
  </si>
  <si>
    <t>Chile wireline EBITDA</t>
  </si>
  <si>
    <t>Chile mobile EBITDA</t>
  </si>
  <si>
    <t>US$/CHP</t>
  </si>
  <si>
    <t>US$ cents per minute</t>
  </si>
  <si>
    <t xml:space="preserve">VAS </t>
  </si>
  <si>
    <t xml:space="preserve"> </t>
  </si>
  <si>
    <t>Implied voice service revenue</t>
  </si>
  <si>
    <t>2*30 at 1900 MHz spectrum</t>
  </si>
  <si>
    <t>Nextel received 2*30 at 1.7/2.1</t>
  </si>
  <si>
    <t>Lib Global 1*30</t>
  </si>
  <si>
    <t>Entel has a PTT service</t>
  </si>
  <si>
    <t>F2M</t>
  </si>
  <si>
    <t>Peak</t>
  </si>
  <si>
    <t>Off-Peak</t>
  </si>
  <si>
    <t>M2M</t>
  </si>
  <si>
    <t>Current fx</t>
  </si>
  <si>
    <t>Nextel have a domestic roaming agreement with Entel in parts of the country</t>
  </si>
  <si>
    <t>4G proposals</t>
  </si>
  <si>
    <t>Dec 16 - purchase of 4G  rules, docs</t>
  </si>
  <si>
    <t>Awards in H1 2012</t>
  </si>
  <si>
    <t>2.6 GHz</t>
  </si>
  <si>
    <t>3*20 MHz</t>
  </si>
  <si>
    <t>implied voice outbound</t>
  </si>
  <si>
    <t>implied voice inbound</t>
  </si>
  <si>
    <t>VAS as % outgoing revenue</t>
  </si>
  <si>
    <t>implied outgoing revenue (voice + data?)</t>
  </si>
  <si>
    <t>Check MTR schedule</t>
  </si>
  <si>
    <t>Check MOU definition - to work out price per minute</t>
  </si>
  <si>
    <t>What's the 'other' EBITDA item?</t>
  </si>
  <si>
    <t>Population</t>
  </si>
  <si>
    <t>% change</t>
  </si>
  <si>
    <t>Market subs</t>
  </si>
  <si>
    <t>Penetration</t>
  </si>
  <si>
    <t>Penetration added</t>
  </si>
  <si>
    <t>Nextel</t>
  </si>
  <si>
    <t>Total</t>
  </si>
  <si>
    <t>Net adds</t>
  </si>
  <si>
    <t>Market share</t>
  </si>
  <si>
    <t>Share of net adds</t>
  </si>
  <si>
    <t>BOP subs</t>
  </si>
  <si>
    <t>EOP subs</t>
  </si>
  <si>
    <t>Average subs</t>
  </si>
  <si>
    <t>ARPU ($)</t>
  </si>
  <si>
    <t>Data as % of ARPU</t>
  </si>
  <si>
    <t>Data ARPU</t>
  </si>
  <si>
    <t>Data revenue</t>
  </si>
  <si>
    <t>Voice ARPU (ARS)</t>
  </si>
  <si>
    <t>Voice revenue</t>
  </si>
  <si>
    <t>Price/ minute (US$)</t>
  </si>
  <si>
    <t>Service revenue</t>
  </si>
  <si>
    <t>Equipment sales</t>
  </si>
  <si>
    <t>margin</t>
  </si>
  <si>
    <t>as % sales</t>
  </si>
  <si>
    <t>% change in local</t>
  </si>
  <si>
    <t>% sales</t>
  </si>
  <si>
    <t>net adds</t>
  </si>
  <si>
    <t>Eliminations</t>
  </si>
  <si>
    <t>as % revs</t>
  </si>
  <si>
    <t>Group EBITDA margin</t>
  </si>
  <si>
    <t>D&amp;A</t>
  </si>
  <si>
    <t>Operating profit</t>
  </si>
  <si>
    <t>Interest</t>
  </si>
  <si>
    <t>% net debt</t>
  </si>
  <si>
    <t>PBT</t>
  </si>
  <si>
    <t xml:space="preserve">Tax </t>
  </si>
  <si>
    <t xml:space="preserve">% </t>
  </si>
  <si>
    <t>Minority</t>
  </si>
  <si>
    <t>Net income</t>
  </si>
  <si>
    <t>EFCF</t>
  </si>
  <si>
    <t>Dividend (cash paid out)</t>
  </si>
  <si>
    <t>DPS</t>
  </si>
  <si>
    <t>EFCF cover</t>
  </si>
  <si>
    <t>Net income cover</t>
  </si>
  <si>
    <t>No of shares</t>
  </si>
  <si>
    <t>Receivables</t>
  </si>
  <si>
    <t xml:space="preserve">Other </t>
  </si>
  <si>
    <t>Current assets</t>
  </si>
  <si>
    <t>PPE</t>
  </si>
  <si>
    <t>Intangibles</t>
  </si>
  <si>
    <t>Non-current assets</t>
  </si>
  <si>
    <t>Total assets</t>
  </si>
  <si>
    <t>Payables</t>
  </si>
  <si>
    <t>Financial debt</t>
  </si>
  <si>
    <t>Current liabilities</t>
  </si>
  <si>
    <t>Debt</t>
  </si>
  <si>
    <t>Provisions</t>
  </si>
  <si>
    <t>Non-current liabilities</t>
  </si>
  <si>
    <t>Equity</t>
  </si>
  <si>
    <t>Liabilities + Equity</t>
  </si>
  <si>
    <t>check</t>
  </si>
  <si>
    <t>change in NWC</t>
  </si>
  <si>
    <t>Tax rate</t>
  </si>
  <si>
    <t>FCF</t>
  </si>
  <si>
    <t>WACC</t>
  </si>
  <si>
    <t>NPV FCF</t>
  </si>
  <si>
    <t>Terminal multiple of FCF</t>
  </si>
  <si>
    <t>Implied growth</t>
  </si>
  <si>
    <t>TV</t>
  </si>
  <si>
    <t>PV TV</t>
  </si>
  <si>
    <t>Chile</t>
  </si>
  <si>
    <t>Entel</t>
  </si>
  <si>
    <t>TEF</t>
  </si>
  <si>
    <t>AMX</t>
  </si>
  <si>
    <t>ARPU (CHP)</t>
  </si>
  <si>
    <t>Capex</t>
  </si>
  <si>
    <t>Peru/$</t>
  </si>
  <si>
    <t>Peru revs, local</t>
  </si>
  <si>
    <t>CHP/Sol</t>
  </si>
  <si>
    <t>EBITDA, CHP</t>
  </si>
  <si>
    <t>P&amp;L, CHP</t>
  </si>
  <si>
    <t>Group revenue</t>
  </si>
  <si>
    <t>Gross Chile mobile revenue</t>
  </si>
  <si>
    <t>How much did the acquisitions on Oct 4 (Transam, Will) in wireline impact fixed numbers?</t>
  </si>
  <si>
    <t>Fixed</t>
  </si>
  <si>
    <t>Residential is just 7% of Entel revs</t>
  </si>
  <si>
    <t>Wholesale/other</t>
  </si>
  <si>
    <t>Corporate</t>
  </si>
  <si>
    <t>Enterprise</t>
  </si>
  <si>
    <t>Share of LD market</t>
  </si>
  <si>
    <t>Share of international</t>
  </si>
  <si>
    <t>Share of IT services</t>
  </si>
  <si>
    <t>"Large" share of medium and large corporate market (2010 annual)</t>
  </si>
  <si>
    <t>Corporates - pushing convergence</t>
  </si>
  <si>
    <t>broken down into data and IT (80%), local ,LD, internet</t>
  </si>
  <si>
    <t>Wholesale - infrastructure leasing mainly plus traffic</t>
  </si>
  <si>
    <t>Enterprise - evenly split data/res/LD/internet/NGN</t>
  </si>
  <si>
    <t>Residential - those customers who want LD and international calls</t>
  </si>
  <si>
    <t>Net Chile mobile revenue</t>
  </si>
  <si>
    <t>Data and IT</t>
  </si>
  <si>
    <t>LD</t>
  </si>
  <si>
    <t>Total net fixed</t>
  </si>
  <si>
    <t>Residential</t>
  </si>
  <si>
    <t>Corporate/SME</t>
  </si>
  <si>
    <t>Infrastructure/other</t>
  </si>
  <si>
    <t>Gross wireline revenue</t>
  </si>
  <si>
    <t>Peru revs gross, CHP</t>
  </si>
  <si>
    <t>Peru net</t>
  </si>
  <si>
    <t>as % gross</t>
  </si>
  <si>
    <t>Total LIS</t>
  </si>
  <si>
    <t>Corp/SME LIS</t>
  </si>
  <si>
    <t>NGN-IP LIS</t>
  </si>
  <si>
    <t>Implied ARPL</t>
  </si>
  <si>
    <t>Alternative split (gross basis)</t>
  </si>
  <si>
    <t>Wireline split (net basis)</t>
  </si>
  <si>
    <t>OpFCF</t>
  </si>
  <si>
    <t>Capex ex-handsets</t>
  </si>
  <si>
    <t>Handsets</t>
  </si>
  <si>
    <t>Handset costs</t>
  </si>
  <si>
    <t>Net debt</t>
  </si>
  <si>
    <t>Financials</t>
  </si>
  <si>
    <t>Has to pay &gt;30% of net income by law</t>
  </si>
  <si>
    <t>Policy to pay up to 80% of net income subject to market conditions etc etc</t>
  </si>
  <si>
    <t>Breakdown of fixed market?</t>
  </si>
  <si>
    <t>Entel moving into the residential market</t>
  </si>
  <si>
    <t>Acquired GTD Manquehue through a merger, announced Nov 29, 2011</t>
  </si>
  <si>
    <t>GTD taking 9.8% in stock</t>
  </si>
  <si>
    <t>March</t>
  </si>
  <si>
    <t>June</t>
  </si>
  <si>
    <t>September</t>
  </si>
  <si>
    <t>December</t>
  </si>
  <si>
    <t>Final Clients Accesses</t>
  </si>
  <si>
    <t>Fixed telephony accesses (1)</t>
  </si>
  <si>
    <t>Internet and data accesses</t>
  </si>
  <si>
    <t>Narrowband</t>
  </si>
  <si>
    <t>Broadband (2)</t>
  </si>
  <si>
    <t>Other (3)</t>
  </si>
  <si>
    <t>Mobile accesses</t>
  </si>
  <si>
    <t>Pre-Pay (5)</t>
  </si>
  <si>
    <t>Contract</t>
  </si>
  <si>
    <t>Pay TV</t>
  </si>
  <si>
    <t>Wholesale Accesses</t>
  </si>
  <si>
    <t xml:space="preserve">Lib Global </t>
  </si>
  <si>
    <t>telephony</t>
  </si>
  <si>
    <t>broadband</t>
  </si>
  <si>
    <t>Telefonica fixed</t>
  </si>
  <si>
    <t xml:space="preserve">GTD </t>
  </si>
  <si>
    <t>Has 10% share of land lines, 8% share of internet,</t>
  </si>
  <si>
    <t>Entel (bought Transam)</t>
  </si>
  <si>
    <t>Liberty Global</t>
  </si>
  <si>
    <t>GTD</t>
  </si>
  <si>
    <t>Fixed lines share</t>
  </si>
  <si>
    <t>How aggressive?</t>
  </si>
  <si>
    <t>What are the roll-out commitments?</t>
  </si>
  <si>
    <t>Roaming agreements in place?</t>
  </si>
  <si>
    <t>Liberty Global/VTR</t>
  </si>
  <si>
    <t>10 year bond yield</t>
  </si>
  <si>
    <t>Spread</t>
  </si>
  <si>
    <t>Cd</t>
  </si>
  <si>
    <t>Post-tax Cd</t>
  </si>
  <si>
    <t>ERP</t>
  </si>
  <si>
    <t>Beta</t>
  </si>
  <si>
    <t>Ce</t>
  </si>
  <si>
    <t>D/E</t>
  </si>
  <si>
    <t>Chile WACC</t>
  </si>
  <si>
    <t>EV (CHP)</t>
  </si>
  <si>
    <t>Equity value</t>
  </si>
  <si>
    <t>CHP</t>
  </si>
  <si>
    <t>2012e</t>
  </si>
  <si>
    <t>Balance sheet</t>
  </si>
  <si>
    <t>Market Cap (fully diluted)</t>
  </si>
  <si>
    <t>Less: associates/tax shield</t>
  </si>
  <si>
    <t>Plus: NPV of future licence costs</t>
  </si>
  <si>
    <t>Plus: Value of minorities</t>
  </si>
  <si>
    <t>Plus: Other liabilities</t>
  </si>
  <si>
    <t>Less: Accumulated dividend</t>
  </si>
  <si>
    <t>Enterprise value</t>
  </si>
  <si>
    <t>Adjusted EBITDA</t>
  </si>
  <si>
    <t xml:space="preserve">Less Capex </t>
  </si>
  <si>
    <t xml:space="preserve">Clean Net Interest </t>
  </si>
  <si>
    <t xml:space="preserve">Less clean tax (P&amp;L) </t>
  </si>
  <si>
    <t>Less clean minorities (P&amp;L)</t>
  </si>
  <si>
    <t>Market Cap</t>
  </si>
  <si>
    <t>Less: Value of associates</t>
  </si>
  <si>
    <t>Plus liabilities</t>
  </si>
  <si>
    <t>Adjusted Market Cap</t>
  </si>
  <si>
    <t>Adjusted EPS</t>
  </si>
  <si>
    <t>EV/Revenues</t>
  </si>
  <si>
    <t>EV/OpFCF</t>
  </si>
  <si>
    <t>EV/FCF</t>
  </si>
  <si>
    <t>P/EFCF</t>
  </si>
  <si>
    <t>Equity FCF yield</t>
  </si>
  <si>
    <t>Dividend yield</t>
  </si>
  <si>
    <t>P/E adj</t>
  </si>
  <si>
    <t>ENTEL CI</t>
  </si>
  <si>
    <t>Shares OUT</t>
  </si>
  <si>
    <t>EPS</t>
  </si>
  <si>
    <t>CHP/$</t>
  </si>
  <si>
    <t>Questions for IR</t>
  </si>
  <si>
    <t>Thoughts on Virgin Mobile launching in Q1 2012? What sort of terms have they got from TEF do you know?</t>
  </si>
  <si>
    <t>Liberty Global chat</t>
  </si>
  <si>
    <t>VTR is one of the 2 strongest brands in the Liberty Global group</t>
  </si>
  <si>
    <t>20% owned by local family</t>
  </si>
  <si>
    <t>Duopoly until 2 years ago - VTR and Telefonica on the residential side</t>
  </si>
  <si>
    <t>Telmex very aggressive on overbuild subsequently, but limited traction</t>
  </si>
  <si>
    <t>Mobile</t>
  </si>
  <si>
    <t>Picked up the spectrum cheaply after strong lobbying</t>
  </si>
  <si>
    <t>Number portability from Jan 16th</t>
  </si>
  <si>
    <t>Handset blocking issues gone away - all handsets offered unblocked</t>
  </si>
  <si>
    <t>Deal with TEF for roaming (nothing mandated)</t>
  </si>
  <si>
    <t>One problem has been getting access to towers - hence slight launch delays</t>
  </si>
  <si>
    <t>Launch end-Q1 with POPs equivalent to most of current fixed coverage</t>
  </si>
  <si>
    <t>100 towers from Wimax sold to American Tower ($15m) which is now leasing back</t>
  </si>
  <si>
    <t>$ price per tower</t>
  </si>
  <si>
    <t>Targeting post-paid customers and business</t>
  </si>
  <si>
    <t>Will not completely ignore pre-pay</t>
  </si>
  <si>
    <t>Similar approach to Nextel</t>
  </si>
  <si>
    <t>Will subsidise handsets</t>
  </si>
  <si>
    <t>capex</t>
  </si>
  <si>
    <t>opex</t>
  </si>
  <si>
    <t>Total cash out:</t>
  </si>
  <si>
    <t>Already have a retail presence in Chile. Fixed is still a store driven process in terms of bills etc</t>
  </si>
  <si>
    <t>Not opening new stores</t>
  </si>
  <si>
    <t>Entel likely to be the typical target customer (higher percentage of post-paid subs)</t>
  </si>
  <si>
    <t>Will not have the iPhone 4s on launch (poss the 3 or 4)</t>
  </si>
  <si>
    <t>4G: will be very price sensitive around the auctions</t>
  </si>
  <si>
    <t>Would look to sell VTR but not until 2013 for tax reasons</t>
  </si>
  <si>
    <t>Has started to target cheaper income groups</t>
  </si>
  <si>
    <t>Will continue to rollout further geographic coverage (80,000 homes added in last 12 months)</t>
  </si>
  <si>
    <t>VTR</t>
  </si>
  <si>
    <t>Market service revenue</t>
  </si>
  <si>
    <t>growth rates</t>
  </si>
  <si>
    <t>Jan 24 call</t>
  </si>
  <si>
    <t>Results date?</t>
  </si>
  <si>
    <t>Guidance?</t>
  </si>
  <si>
    <t>claro - young, low end of the market. Improving, but low ARPU</t>
  </si>
  <si>
    <t>tef -target all parts of the market. Tough times in Spain. Last 6m, been quite quiet. Rational.</t>
  </si>
  <si>
    <t>entel has higher revenue share. High quality services/network etc. local company, partnerships with ericsson and vodafone</t>
  </si>
  <si>
    <t>32% of base is post-paid, inc mobile BB customers</t>
  </si>
  <si>
    <t>better trends on pre-paid, with more focus recently</t>
  </si>
  <si>
    <t>focus is on investing in smartphones. Of total base: st 2011 &lt;8%, by end-11, 13% base, end 12 15/16%</t>
  </si>
  <si>
    <t>do not have unlimited plans</t>
  </si>
  <si>
    <t>VTR - serve high-end and these guys want quality, not price.</t>
  </si>
  <si>
    <t>Coverage will not be so good - but roaming agreement with Movistar?</t>
  </si>
  <si>
    <t>Very quiet so far, nothing from a commercial perspective</t>
  </si>
  <si>
    <t>No impact on the enterprise market</t>
  </si>
  <si>
    <t>around 35-40% of post paid entel are enterprise</t>
  </si>
  <si>
    <t>Nextel - in the niche part of the market today. Expect additional services to enterprises</t>
  </si>
  <si>
    <t>Do not expect residential push</t>
  </si>
  <si>
    <t>Will it work over 3G? Peru demo but…</t>
  </si>
  <si>
    <t>Changed their logo, some adverts on the web</t>
  </si>
  <si>
    <t>Virgin Mobile - agreement with Movistar. Niche part of the market.</t>
  </si>
  <si>
    <t>11-12% growth is expected</t>
  </si>
  <si>
    <t>65 pesos</t>
  </si>
  <si>
    <t>45% cut</t>
  </si>
  <si>
    <t>2014 - a new revision</t>
  </si>
  <si>
    <t>40-45%</t>
  </si>
  <si>
    <t>updated with some inflation metrics</t>
  </si>
  <si>
    <t>MOU in</t>
  </si>
  <si>
    <t>Outbound MOU</t>
  </si>
  <si>
    <t>Deal not happening</t>
  </si>
  <si>
    <t>Entel started as a long distance company. No residential segment today</t>
  </si>
  <si>
    <t>Using mobile to reach residential. Will use 4G to target residential, TV over DTH</t>
  </si>
  <si>
    <t>Will not be for 100% of the market. Cable is better in terms of speed</t>
  </si>
  <si>
    <t>Would have been more high end (if it had happened)</t>
  </si>
  <si>
    <t>80% of the market, medium-low segments (use less than 2Mbps)</t>
  </si>
  <si>
    <t>Sign a contract with a TV provider</t>
  </si>
  <si>
    <t>Several content providers, Media Network (TEF) in Peru</t>
  </si>
  <si>
    <t>Need to pay for the football today</t>
  </si>
  <si>
    <t>Basic TV today is $23 per month, but need to pay for it with triple-play</t>
  </si>
  <si>
    <t>4G auctions</t>
  </si>
  <si>
    <t>Start 2012. Trial from 2010. ready to start</t>
  </si>
  <si>
    <t>3 blocks of 40MHz (2x20)</t>
  </si>
  <si>
    <t>Not an economic bid</t>
  </si>
  <si>
    <t>3G - this was the only time someone paid (Nextel/VTR) as proposals were very similar</t>
  </si>
  <si>
    <t>MOBILE Competition</t>
  </si>
  <si>
    <t>Fixed business</t>
  </si>
  <si>
    <t>Focused on corporate and enterprise</t>
  </si>
  <si>
    <t>Telecoms and IT services</t>
  </si>
  <si>
    <t>IT services are 13-14% growth, telecoms in-line with GDP</t>
  </si>
  <si>
    <t>Niche IT services</t>
  </si>
  <si>
    <t>Strong balance sheet, will look for opportunities</t>
  </si>
  <si>
    <t>Dividend policy, up to 80% of net income</t>
  </si>
  <si>
    <t>No restrictions on buy-back, special dividend BUT local dudes control. No govt control. Pension are 14%. 10-15% are international</t>
  </si>
  <si>
    <t>Liquidity is low, so don't want buy backs</t>
  </si>
  <si>
    <t>Guidance</t>
  </si>
  <si>
    <t>Don't give but…</t>
  </si>
  <si>
    <t>39-41% for EBITDA margin for 2012</t>
  </si>
  <si>
    <t>Capex, ex handsets, 18% of revenue</t>
  </si>
  <si>
    <t>10-12% revenue growth</t>
  </si>
  <si>
    <t>$50m on new facility</t>
  </si>
  <si>
    <t>One-time investments to change antennas, $25m</t>
  </si>
  <si>
    <t>no portability in Jan + 3 new entrants</t>
  </si>
  <si>
    <t>higher expenditure on smartphones</t>
  </si>
  <si>
    <t>pre-paid handset subsidies are opex</t>
  </si>
  <si>
    <t>post-paid subsidies go to capex. Subsidies are leased for 18 months</t>
  </si>
  <si>
    <t>depreciated over a 12 month period</t>
  </si>
  <si>
    <t>Entel has PTT - does not work properly. Is just one to one.</t>
  </si>
  <si>
    <t>Report on 30 January</t>
  </si>
  <si>
    <t>Next Tuesday 12pm</t>
  </si>
  <si>
    <t>Q4 11</t>
  </si>
  <si>
    <t>Gross Chile service revs</t>
  </si>
  <si>
    <t>Handset revs</t>
  </si>
  <si>
    <t>Total gross mobile</t>
  </si>
  <si>
    <t>OTHER NON-CORE</t>
  </si>
  <si>
    <t>Call centre/other</t>
  </si>
  <si>
    <t xml:space="preserve">Mobile revenue </t>
  </si>
  <si>
    <t>VAS</t>
  </si>
  <si>
    <t>Voice</t>
  </si>
  <si>
    <t>Voice ARPU yield/min</t>
  </si>
  <si>
    <t>Voice ARPU yield per minute</t>
  </si>
  <si>
    <t>Monthly churn</t>
  </si>
  <si>
    <t>EBITDA margin</t>
  </si>
  <si>
    <t>Capex/sales (inc handset subsidies)</t>
  </si>
  <si>
    <t>Capex/sales (ex handset subsidies)</t>
  </si>
  <si>
    <t>Exchange/other gains losses</t>
  </si>
  <si>
    <t>Change in net debt</t>
  </si>
  <si>
    <t>Post Q4 2011 results</t>
  </si>
  <si>
    <t>What's the big 'other' item in revenue in Q4</t>
  </si>
  <si>
    <t>Why revs slowed down…why data revs the driver?</t>
  </si>
  <si>
    <t>Talk through subsidies etc</t>
  </si>
  <si>
    <t>MTR rate</t>
  </si>
  <si>
    <t>Q1 08</t>
  </si>
  <si>
    <t>Q2 08</t>
  </si>
  <si>
    <t>Q3 08</t>
  </si>
  <si>
    <t>Q4 08</t>
  </si>
  <si>
    <t>Voice yield per minute</t>
  </si>
  <si>
    <t>Q1 07</t>
  </si>
  <si>
    <t>Q2 07</t>
  </si>
  <si>
    <t>Q3 07</t>
  </si>
  <si>
    <t>Q4 07</t>
  </si>
  <si>
    <t>Outbound price per minute</t>
  </si>
  <si>
    <t>% voice revs growth</t>
  </si>
  <si>
    <t>MOU y/y growth</t>
  </si>
  <si>
    <t>Real GDP growth</t>
  </si>
  <si>
    <t>Nominal GDP growth</t>
  </si>
  <si>
    <t>Implied inflation</t>
  </si>
  <si>
    <t>ARPU</t>
  </si>
  <si>
    <t>y/y</t>
  </si>
  <si>
    <t>Data as % revenue</t>
  </si>
  <si>
    <t>Mobile dongles as total SIMs</t>
  </si>
  <si>
    <t>MTR rate, US$ cents</t>
  </si>
  <si>
    <t>Q 12</t>
  </si>
  <si>
    <t>Q2 12</t>
  </si>
  <si>
    <t>Q3 12</t>
  </si>
  <si>
    <t>Q4 12</t>
  </si>
  <si>
    <t>Q2 13</t>
  </si>
  <si>
    <t>Q3 13</t>
  </si>
  <si>
    <t>Q4 13</t>
  </si>
  <si>
    <t>Q1 14</t>
  </si>
  <si>
    <t xml:space="preserve">Consensus </t>
  </si>
  <si>
    <t>Revenue</t>
  </si>
  <si>
    <t>Revenue (consensus)</t>
  </si>
  <si>
    <t>EBITDA (consensus)</t>
  </si>
  <si>
    <t>EBITDA (NSRe)</t>
  </si>
  <si>
    <t xml:space="preserve">EBITDA </t>
  </si>
  <si>
    <t>Revenue (NSRe)</t>
  </si>
  <si>
    <t>ROIC</t>
  </si>
  <si>
    <t>Capitalised subsidy</t>
  </si>
  <si>
    <t>Chile mobile capex</t>
  </si>
  <si>
    <t>Chile mobile OpFCF</t>
  </si>
  <si>
    <t>Mobile + handsets</t>
  </si>
  <si>
    <t>Underling capex/sales</t>
  </si>
  <si>
    <t xml:space="preserve">Mobile </t>
  </si>
  <si>
    <t>Group</t>
  </si>
  <si>
    <t>OpFCF margin</t>
  </si>
  <si>
    <t>TEF Chile</t>
  </si>
  <si>
    <t>Underlying capex/sales</t>
  </si>
  <si>
    <t>Cap. subsidies (as % sales)</t>
  </si>
  <si>
    <t>Valuation</t>
  </si>
  <si>
    <t>Number of shares, ords</t>
  </si>
  <si>
    <t>Average number of shares, ords</t>
  </si>
  <si>
    <t>Number of shares, savs</t>
  </si>
  <si>
    <t>Average number of shares, savs</t>
  </si>
  <si>
    <t>Other financial liabilities</t>
  </si>
  <si>
    <t>Associates</t>
  </si>
  <si>
    <t>Minorities</t>
  </si>
  <si>
    <t>Dividend payments</t>
  </si>
  <si>
    <t>Tax credit</t>
  </si>
  <si>
    <t>Reported EPS</t>
  </si>
  <si>
    <t>Clean EPS</t>
  </si>
  <si>
    <t>Group forecasts</t>
  </si>
  <si>
    <t>Revenues</t>
  </si>
  <si>
    <t>Depreciation</t>
  </si>
  <si>
    <t>Amortisation</t>
  </si>
  <si>
    <t>Minority interests</t>
  </si>
  <si>
    <t>Book equity</t>
  </si>
  <si>
    <t>Net interest</t>
  </si>
  <si>
    <t>Reported earnings</t>
  </si>
  <si>
    <t>Clean earnings</t>
  </si>
  <si>
    <t>Equity free cash flow</t>
  </si>
  <si>
    <t>Employees</t>
  </si>
  <si>
    <t>Net fixed assets</t>
  </si>
  <si>
    <t>Mobile forecasts</t>
  </si>
  <si>
    <t>Mobile subscribers</t>
  </si>
  <si>
    <t>Domestic subscribers</t>
  </si>
  <si>
    <t>Domestic population</t>
  </si>
  <si>
    <t>Domestic market subscribers</t>
  </si>
  <si>
    <t>Mobile revenues</t>
  </si>
  <si>
    <t>Domestic revenues</t>
  </si>
  <si>
    <t>Mobile EBITDA</t>
  </si>
  <si>
    <t>Domestic EBITDA</t>
  </si>
  <si>
    <t>Mobile capex</t>
  </si>
  <si>
    <t>Domestic capex</t>
  </si>
  <si>
    <t>Cumulative group capex</t>
  </si>
  <si>
    <t>Cumulative domestic capex</t>
  </si>
  <si>
    <t>Mobile OpFCF</t>
  </si>
  <si>
    <t>Domestic OpFCF</t>
  </si>
  <si>
    <t>Mobile FCF</t>
  </si>
  <si>
    <t>Domestic FCF</t>
  </si>
  <si>
    <t>Domestic ARPU</t>
  </si>
  <si>
    <t>Mobile depreciation</t>
  </si>
  <si>
    <t>Wireline forecasts</t>
  </si>
  <si>
    <t>Connections</t>
  </si>
  <si>
    <t xml:space="preserve"> - of which ADSL lines</t>
  </si>
  <si>
    <t>Interest cost on pension</t>
  </si>
  <si>
    <t>Debt analysis</t>
  </si>
  <si>
    <t>Public debt EOY balance</t>
  </si>
  <si>
    <t>Public debt repayment</t>
  </si>
  <si>
    <t>Interest on public debt</t>
  </si>
  <si>
    <t>Average interest rate on public debt</t>
  </si>
  <si>
    <t>Maturing non-public debt EOY balance</t>
  </si>
  <si>
    <t>Maturing non-public debt repayment</t>
  </si>
  <si>
    <t>Interest rate on maturing non-public debt</t>
  </si>
  <si>
    <t>Bank interest on maturing non-public debt</t>
  </si>
  <si>
    <t>Other debt EOY balance</t>
  </si>
  <si>
    <t>Interest rate on other debt</t>
  </si>
  <si>
    <t>Interest on other debt</t>
  </si>
  <si>
    <t>Gross debt</t>
  </si>
  <si>
    <t>Gross cash &amp; STI</t>
  </si>
  <si>
    <t>Interest rate on cash</t>
  </si>
  <si>
    <t>Interest income</t>
  </si>
  <si>
    <t>FFO (see note)</t>
  </si>
  <si>
    <t>Cap ex</t>
  </si>
  <si>
    <t>Debt amortisation</t>
  </si>
  <si>
    <t>Gross interest expense</t>
  </si>
  <si>
    <t>Net interest expense</t>
  </si>
  <si>
    <t>Operating leases</t>
  </si>
  <si>
    <t>Ongoing interest on pension deficit</t>
  </si>
  <si>
    <t>Additional pension contributions to civil servants</t>
  </si>
  <si>
    <t>Operating leases x 7</t>
  </si>
  <si>
    <t>Unfunded pension liabilities to civil servants</t>
  </si>
  <si>
    <t>Unfunded pension liabilities</t>
  </si>
  <si>
    <t>Debt in joint ventures</t>
  </si>
  <si>
    <t>Guarantees</t>
  </si>
  <si>
    <t>Adjusted gross debt</t>
  </si>
  <si>
    <t>Adjusted Net debt</t>
  </si>
  <si>
    <t>Maturing debt</t>
  </si>
  <si>
    <t>Cash flow</t>
  </si>
  <si>
    <t>Less: Interest payments</t>
  </si>
  <si>
    <t>Less: Other</t>
  </si>
  <si>
    <t>Less: Dividends paid</t>
  </si>
  <si>
    <t>EFCF adjustments</t>
  </si>
  <si>
    <t>Less: tax credit</t>
  </si>
  <si>
    <t>Add: restructuring</t>
  </si>
  <si>
    <t>Divisional</t>
  </si>
  <si>
    <t>Operational</t>
  </si>
  <si>
    <t>Local calling revenue</t>
  </si>
  <si>
    <t>DLD revenue</t>
  </si>
  <si>
    <t>ILD revenue (outgoing)</t>
  </si>
  <si>
    <t>F to M revenue</t>
  </si>
  <si>
    <t>Narrowband internet revenue</t>
  </si>
  <si>
    <t>Other calling</t>
  </si>
  <si>
    <t>Total outgoing calling ex broadband</t>
  </si>
  <si>
    <t>Line rental revenue (inc ISDN rental)</t>
  </si>
  <si>
    <t>Broadband</t>
  </si>
  <si>
    <t>Interconnection (ILD incoming &amp; national)</t>
  </si>
  <si>
    <t>Leased lines (inc corproate data services)</t>
  </si>
  <si>
    <t>Spare</t>
  </si>
  <si>
    <t>Sum of the Parts</t>
  </si>
  <si>
    <t>Risk free rate</t>
  </si>
  <si>
    <t>Equity premium</t>
  </si>
  <si>
    <t>Debt Premium</t>
  </si>
  <si>
    <t>Cost of Equity</t>
  </si>
  <si>
    <t>Cost of Debt</t>
  </si>
  <si>
    <t>Debt/Equity</t>
  </si>
  <si>
    <t>WACC (US$)</t>
  </si>
  <si>
    <t>Terminal growth</t>
  </si>
  <si>
    <t>Mobile businesses</t>
  </si>
  <si>
    <t>Summary broadband model</t>
  </si>
  <si>
    <t>Households</t>
  </si>
  <si>
    <t>Total incumbent lines (PSTN/ ISDN)</t>
  </si>
  <si>
    <t>Market lines/ household</t>
  </si>
  <si>
    <t>Residential market lines</t>
  </si>
  <si>
    <t>Business market lines</t>
  </si>
  <si>
    <t>Business sites</t>
  </si>
  <si>
    <t>Business lines/ sites</t>
  </si>
  <si>
    <t>Total market lines</t>
  </si>
  <si>
    <t>Incumbent share of market lines</t>
  </si>
  <si>
    <t>Lines/ pop</t>
  </si>
  <si>
    <t>Broadband subs</t>
  </si>
  <si>
    <t>Broadband penetration (per pop)</t>
  </si>
  <si>
    <t>Residential market broadband subs</t>
  </si>
  <si>
    <t>Business market broadband subs</t>
  </si>
  <si>
    <t>Broadband penetration of business sites</t>
  </si>
  <si>
    <t>Broadband penetration of res. households</t>
  </si>
  <si>
    <t>Market ADSL subs (biz and res)</t>
  </si>
  <si>
    <t>Incumbent DSL subs</t>
  </si>
  <si>
    <t>Wholesale DSL subs</t>
  </si>
  <si>
    <t>Line sharing DSL subs</t>
  </si>
  <si>
    <t>Unbundled subs</t>
  </si>
  <si>
    <t>Av. retail DSL price</t>
  </si>
  <si>
    <t>Av. wholesale DSL price</t>
  </si>
  <si>
    <t>Av. line shared DSL price</t>
  </si>
  <si>
    <t>Av. unbundled DSL price</t>
  </si>
  <si>
    <t>DSL share of broadband</t>
  </si>
  <si>
    <t>Incumbent share of DSL</t>
  </si>
  <si>
    <t>Incumbent share of broadband</t>
  </si>
  <si>
    <t>Company voice minutes</t>
  </si>
  <si>
    <t>Market voice minutes</t>
  </si>
  <si>
    <t>Voice market revenues</t>
  </si>
  <si>
    <t>DSL revenues</t>
  </si>
  <si>
    <t>DSL revenues/ pop</t>
  </si>
  <si>
    <t>Line rental revenues (ex-DSL)</t>
  </si>
  <si>
    <t>Voice revenues</t>
  </si>
  <si>
    <t>Other revenues</t>
  </si>
  <si>
    <t>Wireline revenues</t>
  </si>
  <si>
    <t>Access market revenues</t>
  </si>
  <si>
    <t>DSL access revenues</t>
  </si>
  <si>
    <t>Total market revenues</t>
  </si>
  <si>
    <t>Incumbent lines</t>
  </si>
  <si>
    <t>Lines incl. CATV</t>
  </si>
  <si>
    <t>Wireline personnel costs</t>
  </si>
  <si>
    <t>Wireline inteconnect costs</t>
  </si>
  <si>
    <t>Wireline other costs</t>
  </si>
  <si>
    <t>as % capex</t>
  </si>
  <si>
    <t>CHPm</t>
  </si>
  <si>
    <t>Plus: dividends received</t>
  </si>
  <si>
    <t>Less: Tax paid</t>
  </si>
  <si>
    <t>Less: Change in WC</t>
  </si>
  <si>
    <t>Less: Disposals/acquis.</t>
  </si>
  <si>
    <t>Less: Share buyback/ special dividend</t>
  </si>
  <si>
    <t>Cumulative dividends</t>
  </si>
  <si>
    <t>EV calculation,CHP</t>
  </si>
  <si>
    <t>Martket cap, US$</t>
  </si>
  <si>
    <t>Entel mobile margin</t>
  </si>
  <si>
    <t>Entel Group margin</t>
  </si>
  <si>
    <t>Q4 12e</t>
  </si>
  <si>
    <t>Capex, USD</t>
  </si>
  <si>
    <t xml:space="preserve">New </t>
  </si>
  <si>
    <t>Old</t>
  </si>
  <si>
    <t>Q1 12</t>
  </si>
  <si>
    <t>Total minutes</t>
  </si>
  <si>
    <t>Calculated ARPU (old)</t>
  </si>
  <si>
    <t>New</t>
  </si>
  <si>
    <t>Revs</t>
  </si>
  <si>
    <t>Infrastructure capex</t>
  </si>
  <si>
    <t>Capitalised equipment</t>
  </si>
  <si>
    <t>Total capex</t>
  </si>
  <si>
    <t>2012-15 capex, USD</t>
  </si>
  <si>
    <t>% growth</t>
  </si>
  <si>
    <t>Entel capex</t>
  </si>
  <si>
    <t>Capitalised subsidifies</t>
  </si>
  <si>
    <t>Residential lines</t>
  </si>
  <si>
    <t>homes passed</t>
  </si>
  <si>
    <t>TEF DTH</t>
  </si>
  <si>
    <t>Claro DTH</t>
  </si>
  <si>
    <t>DirecTV DTH</t>
  </si>
  <si>
    <t>TV households</t>
  </si>
  <si>
    <t>Total pay-TV</t>
  </si>
  <si>
    <t>Chile is the only investment grade country in LATAM</t>
  </si>
  <si>
    <t>Margin dilution from pay TV</t>
  </si>
  <si>
    <t>Group ex pay TV</t>
  </si>
  <si>
    <t>Estimated pay TV</t>
  </si>
  <si>
    <t xml:space="preserve">Group </t>
  </si>
  <si>
    <t>Pay TV revenue, in US$</t>
  </si>
  <si>
    <t>Pay TV revenue, in CHP</t>
  </si>
  <si>
    <t>Entel targets</t>
  </si>
  <si>
    <t>Group growth</t>
  </si>
  <si>
    <t>Pay TV revs</t>
  </si>
  <si>
    <t>$2-300m by 2016</t>
  </si>
  <si>
    <t>RGU's</t>
  </si>
  <si>
    <t>600,000 by 2015</t>
  </si>
  <si>
    <t>c.10% (mid-term)</t>
  </si>
  <si>
    <t>Cash return</t>
  </si>
  <si>
    <t>Absolute dividend</t>
  </si>
  <si>
    <t>as % previous year net</t>
  </si>
  <si>
    <t>as % previous year EFCF</t>
  </si>
  <si>
    <t xml:space="preserve">CHPm </t>
  </si>
  <si>
    <t>DPS (year paid), CHP</t>
  </si>
  <si>
    <t>Pay TV  model</t>
  </si>
  <si>
    <t>Broadband model</t>
  </si>
  <si>
    <t>Total market</t>
  </si>
  <si>
    <t>Subtel numbers</t>
  </si>
  <si>
    <t>Other cable</t>
  </si>
  <si>
    <t>Claro (formerly Telmex)</t>
  </si>
  <si>
    <t>Others</t>
  </si>
  <si>
    <t>Broadband share (Subtel)</t>
  </si>
  <si>
    <t>Corporate lines</t>
  </si>
  <si>
    <t>HH</t>
  </si>
  <si>
    <t>Residential penetration</t>
  </si>
  <si>
    <t>Residential voice penetration</t>
  </si>
  <si>
    <t>Claro/Telmex</t>
  </si>
  <si>
    <t>Telesat</t>
  </si>
  <si>
    <t>Dic</t>
  </si>
  <si>
    <t>Total RGU's</t>
  </si>
  <si>
    <t>Total RGU's ex-fixed</t>
  </si>
  <si>
    <t>Capex/sales</t>
  </si>
  <si>
    <t>Capex/sales ex-subsids</t>
  </si>
  <si>
    <t>EBITDA in $</t>
  </si>
  <si>
    <t>TV adds</t>
  </si>
  <si>
    <t>TV subs</t>
  </si>
  <si>
    <t>Costs</t>
  </si>
  <si>
    <t>Set-top box, $/unit</t>
  </si>
  <si>
    <t>NSR WACC</t>
  </si>
  <si>
    <t>EBITDA adj</t>
  </si>
  <si>
    <t>ARPU, $</t>
  </si>
  <si>
    <t>Minutes growth</t>
  </si>
  <si>
    <t>OpEx</t>
  </si>
  <si>
    <t>Total OpEx</t>
  </si>
  <si>
    <t>Salaries and expenses</t>
  </si>
  <si>
    <t>Access charges, payment to correspondants</t>
  </si>
  <si>
    <t>Bad debt provisions</t>
  </si>
  <si>
    <t>CHP m</t>
  </si>
  <si>
    <t>Clean capex</t>
  </si>
  <si>
    <t>Handset subsidies</t>
  </si>
  <si>
    <t>2012 (US$)</t>
  </si>
  <si>
    <t>Operating income</t>
  </si>
  <si>
    <t>Net financial expenses</t>
  </si>
  <si>
    <t>Tax</t>
  </si>
  <si>
    <t>Other expenses</t>
  </si>
  <si>
    <t xml:space="preserve">Chile mobile </t>
  </si>
  <si>
    <t>Voice price, US$ (re-based to Q3 12)</t>
  </si>
  <si>
    <t>Voice price, y/y in CHP (RHS)</t>
  </si>
  <si>
    <t>Entel net adds</t>
  </si>
  <si>
    <t xml:space="preserve"> - of which post-paid</t>
  </si>
  <si>
    <t xml:space="preserve"> - of which pre-paid</t>
  </si>
  <si>
    <t>Entel group revenue</t>
  </si>
  <si>
    <t>Mobile service revs</t>
  </si>
  <si>
    <t>Mobile VAS</t>
  </si>
  <si>
    <t>Mobile voice</t>
  </si>
  <si>
    <t>Fixed/other</t>
  </si>
  <si>
    <t>Group less mobile service</t>
  </si>
  <si>
    <t xml:space="preserve"> of which pre-pay</t>
  </si>
  <si>
    <t xml:space="preserve">   - of which mobile BB</t>
  </si>
  <si>
    <t xml:space="preserve">   - of which voice</t>
  </si>
  <si>
    <t>Minutes analysis</t>
  </si>
  <si>
    <r>
      <t xml:space="preserve">MOU (out + in) - </t>
    </r>
    <r>
      <rPr>
        <i/>
        <sz val="10"/>
        <color theme="1"/>
        <rFont val="Trebuchet MS"/>
        <family val="2"/>
      </rPr>
      <t>on net counted twice</t>
    </r>
  </si>
  <si>
    <t>Out mins</t>
  </si>
  <si>
    <t>In mins</t>
  </si>
  <si>
    <t xml:space="preserve"> of which to fixed</t>
  </si>
  <si>
    <t xml:space="preserve"> of which on-net</t>
  </si>
  <si>
    <t xml:space="preserve"> of which mobile off-net</t>
  </si>
  <si>
    <t xml:space="preserve"> of which from fixed</t>
  </si>
  <si>
    <t xml:space="preserve"> of which from Entel</t>
  </si>
  <si>
    <t xml:space="preserve"> of which from mobile off-net</t>
  </si>
  <si>
    <t>Inbound MOU</t>
  </si>
  <si>
    <t>NSR outbound MOU</t>
  </si>
  <si>
    <t>Total MOU</t>
  </si>
  <si>
    <t xml:space="preserve">Voice ARPU </t>
  </si>
  <si>
    <t>Inbound ARPU</t>
  </si>
  <si>
    <t>Outbound voice ARPU</t>
  </si>
  <si>
    <t>Outbound voice ARPU yield per minute</t>
  </si>
  <si>
    <t>Incremental handset sales</t>
  </si>
  <si>
    <t>Post paid handset expense</t>
  </si>
  <si>
    <t>New group margin</t>
  </si>
  <si>
    <t>New mobile margin</t>
  </si>
  <si>
    <t>New mobile EBITDA</t>
  </si>
  <si>
    <r>
      <t xml:space="preserve">MoU (out + in) - </t>
    </r>
    <r>
      <rPr>
        <i/>
        <sz val="10"/>
        <rFont val="Trebuchet MS"/>
        <family val="2"/>
      </rPr>
      <t>on-net counted twice</t>
    </r>
  </si>
  <si>
    <t>CHILEAN FIXED</t>
  </si>
  <si>
    <t>CHILE MOBILE</t>
  </si>
  <si>
    <t>REVS BY DIVISION (NET)</t>
  </si>
  <si>
    <t>REVS BY DIVISION (GROSS)</t>
  </si>
  <si>
    <t>EBITDA BY DIVISION</t>
  </si>
  <si>
    <t>Advertising, sales exp/comms</t>
  </si>
  <si>
    <t>Outsourced supplies</t>
  </si>
  <si>
    <t>Paid same year as declared</t>
  </si>
  <si>
    <t>Paid following year</t>
  </si>
  <si>
    <t>Q1 13</t>
  </si>
  <si>
    <t>Implied equipment</t>
  </si>
  <si>
    <t>New mobile revs</t>
  </si>
  <si>
    <t>Capex / depreciation</t>
  </si>
  <si>
    <t>Depreciation/ sales</t>
  </si>
  <si>
    <t>Depreciation rate</t>
  </si>
  <si>
    <t>FCF/ NFA</t>
  </si>
  <si>
    <t>OpFCF/ NFA</t>
  </si>
  <si>
    <t>Net fixed assets/ sub</t>
  </si>
  <si>
    <t>Cumulative capex/ sub</t>
  </si>
  <si>
    <t>Cumulative capex</t>
  </si>
  <si>
    <t>Capex / sales</t>
  </si>
  <si>
    <t>Capex breakdown</t>
  </si>
  <si>
    <t>Service rev EBITDA margin</t>
  </si>
  <si>
    <t>Opex/ sub ($)</t>
  </si>
  <si>
    <t>Opex (US$m)</t>
  </si>
  <si>
    <t>Opex/ sub (P$)</t>
  </si>
  <si>
    <t>as % of revenues</t>
  </si>
  <si>
    <t>Service rev opex</t>
  </si>
  <si>
    <t>EBITDA (pre-SAC) margin</t>
  </si>
  <si>
    <t>EBITDA (pre-SACs)</t>
  </si>
  <si>
    <t>SACs (Ps) - net</t>
  </si>
  <si>
    <t>Gross adds</t>
  </si>
  <si>
    <t>SAC ($)</t>
  </si>
  <si>
    <t>SAC (Ps)</t>
  </si>
  <si>
    <t>Cost breakdown</t>
  </si>
  <si>
    <t>Reported revenues</t>
  </si>
  <si>
    <t>Handset sales</t>
  </si>
  <si>
    <t>% of calling revs</t>
  </si>
  <si>
    <t>Roaming, maintenance etc</t>
  </si>
  <si>
    <t>Calling/'subscriber' revenues</t>
  </si>
  <si>
    <t>ARPU (US$)</t>
  </si>
  <si>
    <t>PEN devaluator</t>
  </si>
  <si>
    <t>PEN/ US$ rate</t>
  </si>
  <si>
    <t>ARPU (PEN)</t>
  </si>
  <si>
    <t>Revenue breakdown</t>
  </si>
  <si>
    <t>Share of gross adds</t>
  </si>
  <si>
    <t>Market</t>
  </si>
  <si>
    <t>Churned customers</t>
  </si>
  <si>
    <t>TEM (also formerly BLS)</t>
  </si>
  <si>
    <t>AMX (Claro)</t>
  </si>
  <si>
    <t>Nextel share</t>
  </si>
  <si>
    <t>Total contract/corp subs</t>
  </si>
  <si>
    <t>Contract/corp share/premium prepay of market</t>
  </si>
  <si>
    <t>Market subs in-region</t>
  </si>
  <si>
    <t>Est penetration in-region</t>
  </si>
  <si>
    <t>POPs under coverage</t>
  </si>
  <si>
    <t>Subscriber model</t>
  </si>
  <si>
    <t>Post-tax ROCE on b/s</t>
  </si>
  <si>
    <t>Post-tax ROCE on 5* capex</t>
  </si>
  <si>
    <t>% of sales</t>
  </si>
  <si>
    <t>PEN mn, nominal</t>
  </si>
  <si>
    <t>Peru fixed</t>
  </si>
  <si>
    <t>Peru mobile</t>
  </si>
  <si>
    <t>CHP, mn</t>
  </si>
  <si>
    <t>CHP/PEN</t>
  </si>
  <si>
    <t>Acquisitions</t>
  </si>
  <si>
    <t>as % sales, ex-Nextel</t>
  </si>
  <si>
    <t>ex-Nextel</t>
  </si>
  <si>
    <t>% change ex-Nextel</t>
  </si>
  <si>
    <t>USDm</t>
  </si>
  <si>
    <t xml:space="preserve">Peru market </t>
  </si>
  <si>
    <t>% market share</t>
  </si>
  <si>
    <t>TV (DTH)</t>
  </si>
  <si>
    <t xml:space="preserve">Fixed </t>
  </si>
  <si>
    <t>Nextel Peru had $78.8 million of net operating loss</t>
  </si>
  <si>
    <t>carryforwards that can be utilized indefinitely, but the losses may only offset up to 50% of taxable income each year.</t>
  </si>
  <si>
    <t xml:space="preserve">Intangibles </t>
  </si>
  <si>
    <t>Identifiable (total) assets</t>
  </si>
  <si>
    <t>Q4 13e</t>
  </si>
  <si>
    <t>subsidies</t>
  </si>
  <si>
    <t>ex subsidies</t>
  </si>
  <si>
    <t>EBITDA analysis</t>
  </si>
  <si>
    <t>Old revenue</t>
  </si>
  <si>
    <t>New revenue</t>
  </si>
  <si>
    <t>Pro-forma</t>
  </si>
  <si>
    <t>Cost of equipment sales</t>
  </si>
  <si>
    <t>Old EBITDA</t>
  </si>
  <si>
    <t>New EBITDA</t>
  </si>
  <si>
    <t>handset sales previously deferred over the contract life</t>
  </si>
  <si>
    <t>incs deferred revs and new handset sales</t>
  </si>
  <si>
    <t>Post-paid equipment difference</t>
  </si>
  <si>
    <t>deferred payments falling all the time. 15 month amortisation of fees suggests done by Q1 14. offset by upfront revenue?</t>
  </si>
  <si>
    <t>Difference to EBITDA</t>
  </si>
  <si>
    <t>stripping out the deferred handset sales (adding back the handset revs?)</t>
  </si>
  <si>
    <t>Mobile margin ex-subsidies</t>
  </si>
  <si>
    <t>EBITDA (new)</t>
  </si>
  <si>
    <t>Pro-forma EBITDA</t>
  </si>
  <si>
    <t>EBITDA (old)</t>
  </si>
  <si>
    <t>Revenue (old)</t>
  </si>
  <si>
    <t>Revenue (new)</t>
  </si>
  <si>
    <t>Pro-forma Revenue</t>
  </si>
  <si>
    <t>MTR</t>
  </si>
  <si>
    <t>Mobile Revenue</t>
  </si>
  <si>
    <t xml:space="preserve"> - of which inbound</t>
  </si>
  <si>
    <t xml:space="preserve"> - of which outbound</t>
  </si>
  <si>
    <t xml:space="preserve"> - of which equipment</t>
  </si>
  <si>
    <t xml:space="preserve"> - from net termination</t>
  </si>
  <si>
    <t xml:space="preserve"> - other</t>
  </si>
  <si>
    <t>Pro-forma EBITDA margin</t>
  </si>
  <si>
    <t>Pro-forma costs</t>
  </si>
  <si>
    <t>of which subsidies</t>
  </si>
  <si>
    <t>Inbound revenue</t>
  </si>
  <si>
    <t xml:space="preserve"> of which outbound on-net</t>
  </si>
  <si>
    <t xml:space="preserve"> of which outbound off-net  mobile</t>
  </si>
  <si>
    <t xml:space="preserve"> of which outbound off-net fixed</t>
  </si>
  <si>
    <t>total outbound</t>
  </si>
  <si>
    <t>inbound</t>
  </si>
  <si>
    <t xml:space="preserve"> of which inbound from Entel</t>
  </si>
  <si>
    <t xml:space="preserve"> of which inbound from mobile</t>
  </si>
  <si>
    <t xml:space="preserve"> of which inbound from fixed</t>
  </si>
  <si>
    <t>Total outbound minutes</t>
  </si>
  <si>
    <t>Total inbound minutes (ex on-net)</t>
  </si>
  <si>
    <t>Total off-net mobile outbound minutes</t>
  </si>
  <si>
    <t>Net minutes balance</t>
  </si>
  <si>
    <t>EBITDA from termination</t>
  </si>
  <si>
    <t>MTR in USD</t>
  </si>
  <si>
    <t>% total group EBITDA</t>
  </si>
  <si>
    <t>Adjusted MOU (for comparable reporting)</t>
  </si>
  <si>
    <t>Outbound voice yield/ minute</t>
  </si>
  <si>
    <t>as % total mobile</t>
  </si>
  <si>
    <t>Outbound voice revenue</t>
  </si>
  <si>
    <t>Inbound voice ARPU</t>
  </si>
  <si>
    <t>inbound ex-Entel</t>
  </si>
  <si>
    <t>deferred handset sales</t>
  </si>
  <si>
    <t>Deferred handset payment</t>
  </si>
  <si>
    <t>New group EBITDA (pro-forma)</t>
  </si>
  <si>
    <t>Total revs (pro-forma from Q4 12)</t>
  </si>
  <si>
    <t>New revs (reported from Q4 12, pro-forma prior)</t>
  </si>
  <si>
    <t>PERU fixed</t>
  </si>
  <si>
    <t>Hard cap for usage</t>
  </si>
  <si>
    <t>Still not making money on Entel Hogar</t>
  </si>
  <si>
    <t>Net sales of 40,000</t>
  </si>
  <si>
    <t>Nextel Peru - almost 1.5m clients</t>
  </si>
  <si>
    <t>increasing handsets. Not just PTT</t>
  </si>
  <si>
    <t>opening plans to off-net, not just on-net</t>
  </si>
  <si>
    <t>low 3G handsets for pre-paid</t>
  </si>
  <si>
    <t>Long distance disappearing. Will be recaputed from local</t>
  </si>
  <si>
    <t>higher headcount</t>
  </si>
  <si>
    <t>Nextel Peru</t>
  </si>
  <si>
    <t>Hogar</t>
  </si>
  <si>
    <t>Q3 subs</t>
  </si>
  <si>
    <t>Average debt grew almost 90% q/q</t>
  </si>
  <si>
    <t>Cost of hedging this</t>
  </si>
  <si>
    <t>Nextel paid in August, 4G Peru spectrum bought in September</t>
  </si>
  <si>
    <t>go back to 1.0x net debt to EBITDA</t>
  </si>
  <si>
    <t>Q&amp;A</t>
  </si>
  <si>
    <t>Nextel Peru EBITDA clean?</t>
  </si>
  <si>
    <t>A good indicator for the coming months (6-8 months or so)</t>
  </si>
  <si>
    <t>Starting to improve 1 year from now</t>
  </si>
  <si>
    <t>Sprint network shut down had a small impact</t>
  </si>
  <si>
    <t>700 MHz band in the coming year. Will participate in this.</t>
  </si>
  <si>
    <t>will cover most of the west coast well</t>
  </si>
  <si>
    <t>growth should start to accelerate at some point in the future</t>
  </si>
  <si>
    <t>focus will be on quality however</t>
  </si>
  <si>
    <t>Pre pay and post paid focus</t>
  </si>
  <si>
    <t>1.9 MHz + AWS + 850 + 2.3GHz - a good spectrum mix to deploy a competitive network</t>
  </si>
  <si>
    <t>Pre-paid adds have returned in Chile in Q3</t>
  </si>
  <si>
    <t>Leverage has increased</t>
  </si>
  <si>
    <t>Dividend</t>
  </si>
  <si>
    <t>No material changes going forward to current levels</t>
  </si>
  <si>
    <t>No specific target. BBB rating is very important. Therefore not above 2x</t>
  </si>
  <si>
    <t>700MHz auction</t>
  </si>
  <si>
    <t>30 MHz</t>
  </si>
  <si>
    <t>20 MHz x 2</t>
  </si>
  <si>
    <t>Government has included additional requirements, coverage, rural areas etc. This wasn't historically the case</t>
  </si>
  <si>
    <t>previously, if tied, needed to add monetary offering</t>
  </si>
  <si>
    <t>Don't see too much competition and government agrees with that</t>
  </si>
  <si>
    <t>mainly a technical plan</t>
  </si>
  <si>
    <t>will apply 24/25 January. Retroactive if necessary</t>
  </si>
  <si>
    <t>60 pesos. 30 pesos, possibly lower. Could be higher than 50%</t>
  </si>
  <si>
    <t>more important for those that have a lot of pre-paid</t>
  </si>
  <si>
    <t>pre-paid subs, profile is more inbound traffic.</t>
  </si>
  <si>
    <t>US$35-40m of margin</t>
  </si>
  <si>
    <t>this could be halved on EBITDA, if no elasticity. Assuming subsidies will stay the same</t>
  </si>
  <si>
    <t>AMX could look to cut subsidies…this is what happened in 2009, last time</t>
  </si>
  <si>
    <t>Peru, MTR cut</t>
  </si>
  <si>
    <t>Happened some months ago. No incremental impact on numbers</t>
  </si>
  <si>
    <t>As a newcomer, small MTR is helpful</t>
  </si>
  <si>
    <t>Liberty</t>
  </si>
  <si>
    <t>Intends to shut down wireless network by YE</t>
  </si>
  <si>
    <t>But will keep operating as an MVNO</t>
  </si>
  <si>
    <t>Plus, MVNO with Faravela</t>
  </si>
  <si>
    <t>Acquisitions/disposals (inc licences)</t>
  </si>
  <si>
    <t>change in net debt</t>
  </si>
  <si>
    <t>Other (inc NWC)</t>
  </si>
  <si>
    <t>Check LD revs, substituted to local</t>
  </si>
  <si>
    <t>TV ARPU</t>
  </si>
  <si>
    <t>Entel Hogar</t>
  </si>
  <si>
    <t>Total RGUs</t>
  </si>
  <si>
    <t xml:space="preserve"> - Wireless voice</t>
  </si>
  <si>
    <t xml:space="preserve"> - TV </t>
  </si>
  <si>
    <t>RGU adds</t>
  </si>
  <si>
    <t>Net TV adds</t>
  </si>
  <si>
    <t>LD + local check</t>
  </si>
  <si>
    <t>Residential LIS (incs Entel Hogar)</t>
  </si>
  <si>
    <t xml:space="preserve"> - Broadband</t>
  </si>
  <si>
    <t>TV as % total</t>
  </si>
  <si>
    <t>Internet (inc Entel Hogar)</t>
  </si>
  <si>
    <t>ex-Nextel Peru</t>
  </si>
  <si>
    <t>What's the Entel Hogar potential…check homes passed and implies penetration</t>
  </si>
  <si>
    <t>today, and target</t>
  </si>
  <si>
    <t>Ex-Nextel</t>
  </si>
  <si>
    <t>broadband, june 13</t>
  </si>
  <si>
    <t>fixed lines, jun 13</t>
  </si>
  <si>
    <t>Spectrum holdings</t>
  </si>
  <si>
    <t>Claro</t>
  </si>
  <si>
    <t>Movistar</t>
  </si>
  <si>
    <t>PCS</t>
  </si>
  <si>
    <t xml:space="preserve">Cellular </t>
  </si>
  <si>
    <t xml:space="preserve">AWS </t>
  </si>
  <si>
    <t>SMR</t>
  </si>
  <si>
    <t>(1.7/2.1)</t>
  </si>
  <si>
    <t>(1.8/1.9)</t>
  </si>
  <si>
    <t>Nextel capex</t>
  </si>
  <si>
    <t>Group EBITDA</t>
  </si>
  <si>
    <t xml:space="preserve"> - of which mobile BB</t>
  </si>
  <si>
    <t>Group ex-Nextel</t>
  </si>
  <si>
    <t>Underlying</t>
  </si>
  <si>
    <t>Capex, CHPm</t>
  </si>
  <si>
    <t>Underlying as % sales</t>
  </si>
  <si>
    <t>Licences (Peru 4G)</t>
  </si>
  <si>
    <t>MTR cut</t>
  </si>
  <si>
    <t>MTR announced</t>
  </si>
  <si>
    <t>NSR estimate</t>
  </si>
  <si>
    <t>MTR, CHP</t>
  </si>
  <si>
    <t>2013e</t>
  </si>
  <si>
    <t>2014e</t>
  </si>
  <si>
    <t>change</t>
  </si>
  <si>
    <t>Chile mobile, CHP m</t>
  </si>
  <si>
    <t>EBITDA will be "minimal". Perhaps $25--30m</t>
  </si>
  <si>
    <t>700MHz</t>
  </si>
  <si>
    <t>Might win 30MHz block. Will automatically get 20 MHz</t>
  </si>
  <si>
    <t>end Q1 resolution</t>
  </si>
  <si>
    <t>necessary for LTE mobile</t>
  </si>
  <si>
    <t>20 handsets now, 4/5 previously</t>
  </si>
  <si>
    <t>hedging costs going up</t>
  </si>
  <si>
    <t>Nextel Peru guidance</t>
  </si>
  <si>
    <t>How much capex was spent in Nextel in 2013</t>
  </si>
  <si>
    <t>Underlying capex guidance in Chile - still happy with this?</t>
  </si>
  <si>
    <t>Leverage levels comfortable with. 2x by the end of 2014</t>
  </si>
  <si>
    <t>ebitda close to double digit</t>
  </si>
  <si>
    <t>debt growing</t>
  </si>
  <si>
    <t>margins in chile close to 30%</t>
  </si>
  <si>
    <t>targeting a WACC of 15-20%</t>
  </si>
  <si>
    <t>Peru guidance</t>
  </si>
  <si>
    <t>negative cash flows/EBITDA</t>
  </si>
  <si>
    <t>Margins in Q4 weak? How get to 30%</t>
  </si>
  <si>
    <t>close to 30% on a clean basis ex-Nextel?</t>
  </si>
  <si>
    <t>H2 2015…should be positive at EBITDA</t>
  </si>
  <si>
    <t>How many subs on 3G/iDEN</t>
  </si>
  <si>
    <t>PTT is 90% of the client base</t>
  </si>
  <si>
    <t>Revs growth more materially coming in 2015. Underlying declines to continue</t>
  </si>
  <si>
    <t>$100-150m per year over the next couple of years ($350m over 24 months?)</t>
  </si>
  <si>
    <t>Q4 13 conf call</t>
  </si>
  <si>
    <t>$250m average per annum for the next 5 years?</t>
  </si>
  <si>
    <t>Eliminate the fundo thingy?</t>
  </si>
  <si>
    <t>fund for shareholders</t>
  </si>
  <si>
    <t>capex/sales 16-18% in chile, ex licences?</t>
  </si>
  <si>
    <t>seems a bit lower. This is ex certain 4G expansion</t>
  </si>
  <si>
    <t>but extra capex</t>
  </si>
  <si>
    <t>so similar spend levels to 2013</t>
  </si>
  <si>
    <t>mainly losing PTT iDEN subs</t>
  </si>
  <si>
    <t>mobile BB clients with very low arpu</t>
  </si>
  <si>
    <t>disconnections</t>
  </si>
  <si>
    <t>next 2-3 years, could grow 5x in the next 5 years or so. APU relatively stable</t>
  </si>
  <si>
    <t>shut down iDEN in the long-term</t>
  </si>
  <si>
    <t>not sure, &gt;1m subs today</t>
  </si>
  <si>
    <t>analyse going forward. Not in the next 3-4 years</t>
  </si>
  <si>
    <t>iPhone in Peru?</t>
  </si>
  <si>
    <t>of course</t>
  </si>
  <si>
    <t>not being commercially aggressive just yet</t>
  </si>
  <si>
    <t>Smartphones</t>
  </si>
  <si>
    <t>Of total base, 20% have smartphones</t>
  </si>
  <si>
    <t>55% of post-paid</t>
  </si>
  <si>
    <t>Leverage targets</t>
  </si>
  <si>
    <t>Very important to maintain investment grade ratings</t>
  </si>
  <si>
    <t>might go above 2 to 2.5x for a couple of years</t>
  </si>
  <si>
    <t>depends on other factors</t>
  </si>
  <si>
    <t>lower in Q4</t>
  </si>
  <si>
    <t>macro trends around the Christmas season?</t>
  </si>
  <si>
    <t>through the elections, uncertainty removed</t>
  </si>
  <si>
    <t>tax savings in Peru. Accounting credits..effective tax below 20%</t>
  </si>
  <si>
    <t>Revs, down $150-200m</t>
  </si>
  <si>
    <t>Subsidies might go down as a response</t>
  </si>
  <si>
    <t>couple of years before it turns around, vs 12m previously. "starting H2"</t>
  </si>
  <si>
    <t>cash flow break-even start 2017 (EBITDA less capex)</t>
  </si>
  <si>
    <t>larger than -ve single digit margins</t>
  </si>
  <si>
    <t>Need to do more work to focus on mass market</t>
  </si>
  <si>
    <t>Mobile BB ARPU subs are very low</t>
  </si>
  <si>
    <t>Expected to take control of company in March 2013, but was August in the end</t>
  </si>
  <si>
    <t>Company trends have slowed</t>
  </si>
  <si>
    <t>500,000 subs to comply with the regulator, as part of licence process</t>
  </si>
  <si>
    <t>300,000 mobile BB as of end-2013</t>
  </si>
  <si>
    <t>iDEN voice subs have high churn</t>
  </si>
  <si>
    <t>700 MHz rural coverage requirements</t>
  </si>
  <si>
    <t>2.6 GHz less restrictive</t>
  </si>
  <si>
    <t>How much capex in Peru so far</t>
  </si>
  <si>
    <t>guidance, in $</t>
  </si>
  <si>
    <t>in chp</t>
  </si>
  <si>
    <t>add back mtr drag</t>
  </si>
  <si>
    <t>Ownership</t>
  </si>
  <si>
    <t>Multiple</t>
  </si>
  <si>
    <t>100% EV</t>
  </si>
  <si>
    <t>% of EV</t>
  </si>
  <si>
    <t>Methodology</t>
  </si>
  <si>
    <t>DCF</t>
  </si>
  <si>
    <t>Value per share</t>
  </si>
  <si>
    <t>Peru fixed DCF, CHP</t>
  </si>
  <si>
    <t>DCF calculation, CHP</t>
  </si>
  <si>
    <t>EV (CHP m)</t>
  </si>
  <si>
    <t>EV (US$ m)</t>
  </si>
  <si>
    <t>Chile OpFCF</t>
  </si>
  <si>
    <t>Chile margin</t>
  </si>
  <si>
    <t>Chile DCF</t>
  </si>
  <si>
    <t>EV</t>
  </si>
  <si>
    <t>In-price</t>
  </si>
  <si>
    <t>700 MHz (estimate)</t>
  </si>
  <si>
    <t>EV, $</t>
  </si>
  <si>
    <t>Value destruction, CHPm</t>
  </si>
  <si>
    <t>Value destruction, $m</t>
  </si>
  <si>
    <t>Value destruction,/share</t>
  </si>
  <si>
    <t>Chile margins</t>
  </si>
  <si>
    <t>Chile revenue (incs other)</t>
  </si>
  <si>
    <t>Chile EBITDA (incs other)</t>
  </si>
  <si>
    <t>Chile capex (incs other)</t>
  </si>
  <si>
    <t>Cash / FX hedges</t>
  </si>
  <si>
    <t>14-18e CAGR</t>
  </si>
  <si>
    <t>SOL m</t>
  </si>
  <si>
    <t>Chilean fixed</t>
  </si>
  <si>
    <t>Peru fixed EBITDA</t>
  </si>
  <si>
    <t>MTR adj</t>
  </si>
  <si>
    <t>Revenue, US$</t>
  </si>
  <si>
    <t>Revenue, CHP</t>
  </si>
  <si>
    <t>CHP/SOL</t>
  </si>
  <si>
    <t>SOL/$</t>
  </si>
  <si>
    <t xml:space="preserve">Capex </t>
  </si>
  <si>
    <t>diff</t>
  </si>
  <si>
    <t>post-paid adds (inc MBB)</t>
  </si>
  <si>
    <t>post-paid ex-MBB</t>
  </si>
  <si>
    <t>subs</t>
  </si>
  <si>
    <t>Q1 14 call</t>
  </si>
  <si>
    <t>How much of capex was spent at Nextel</t>
  </si>
  <si>
    <t>What was the size of the gain booked..what was sold?</t>
  </si>
  <si>
    <t>Interest line up again..a reasonable run rate for the FY</t>
  </si>
  <si>
    <t>Thought on Peru 700 MHz auction timing</t>
  </si>
  <si>
    <t>Are losses likely to widen in Peru once commercial efforts increase?</t>
  </si>
  <si>
    <t>when should we expect revs to grow</t>
  </si>
  <si>
    <t xml:space="preserve"> - of which pre-paid </t>
  </si>
  <si>
    <t>MTR had an impact on operators' behaviour</t>
  </si>
  <si>
    <t>Gross revenue, SOLm</t>
  </si>
  <si>
    <t>Net revenue, SOLm</t>
  </si>
  <si>
    <t>Fixed revenue</t>
  </si>
  <si>
    <t xml:space="preserve">Peru </t>
  </si>
  <si>
    <t>almost all handsets competitors have</t>
  </si>
  <si>
    <t>&gt;20 handsets</t>
  </si>
  <si>
    <t>no 3g ptt</t>
  </si>
  <si>
    <t>"Use strong cash generation in Chile to invest in Peru…"  ?</t>
  </si>
  <si>
    <t>Appealing against MTR cut</t>
  </si>
  <si>
    <t>potential for 1 peso up this year, and minor up next couple of years</t>
  </si>
  <si>
    <t>losing some mobile BB subs. Very low arpu. Not an issue</t>
  </si>
  <si>
    <t>plus losing some iDEN subs</t>
  </si>
  <si>
    <t>some moving to 3G</t>
  </si>
  <si>
    <t>some leaving</t>
  </si>
  <si>
    <t>good arpu subs, &gt;$30 arpu.</t>
  </si>
  <si>
    <t>3G PTT clients, which are no longer being marketed to. 3G with PTT is not a good product</t>
  </si>
  <si>
    <t>Possible MTR if appeal successful</t>
  </si>
  <si>
    <t>$700m over next 3 years</t>
  </si>
  <si>
    <t>Expect losses to continue, and recovery "very soon"</t>
  </si>
  <si>
    <t>revenue impact maybe slightly lower than expected, but not at EBITDA</t>
  </si>
  <si>
    <t>Why lower, losses in Peru can be offset? Rate is 30%</t>
  </si>
  <si>
    <t>losses here can be used forever. % per year</t>
  </si>
  <si>
    <t>$150m in tax loss carry forwards. Accumulated</t>
  </si>
  <si>
    <t>3G subs. x2, by 100,000 subs (Q1 on Q4), is normal 3G clients</t>
  </si>
  <si>
    <t>nothing new..</t>
  </si>
  <si>
    <t>some less promotions perhaps, as a result of the MTR, on pre-paid</t>
  </si>
  <si>
    <t>Q2 14</t>
  </si>
  <si>
    <t xml:space="preserve"> - MTR adjusted service revs</t>
  </si>
  <si>
    <t>Revenue, SOL</t>
  </si>
  <si>
    <t>SOLm</t>
  </si>
  <si>
    <t>Margins bottomed in Peru?</t>
  </si>
  <si>
    <t>close to it, but maybe not bottomed. Due to launch costs</t>
  </si>
  <si>
    <t>some extra subsidies which were not recurrent</t>
  </si>
  <si>
    <t>high-end pre-paid subsidies</t>
  </si>
  <si>
    <t>Chilean growth now past the MTR cuts</t>
  </si>
  <si>
    <t>sustainable are lower subsidies?</t>
  </si>
  <si>
    <t>Economy has softened</t>
  </si>
  <si>
    <t>slow down in revs growth…all macro, or pricing pressure?</t>
  </si>
  <si>
    <t>Chile:</t>
  </si>
  <si>
    <t xml:space="preserve">3 years of $2bn, $650-$700m per year. On average, toward the low end of this for 2014. </t>
  </si>
  <si>
    <t>Peru:</t>
  </si>
  <si>
    <t>$250-300m for this year, $200-250m thereafter. Might be sightly below the $300m for this year</t>
  </si>
  <si>
    <t>$3-4m in the quarter</t>
  </si>
  <si>
    <t>MBB: 130,000 subs - will disappear largely in Q3</t>
  </si>
  <si>
    <t>Do you have the 700 MHz spectrum in Chile?</t>
  </si>
  <si>
    <t>awarded, but not received</t>
  </si>
  <si>
    <t>MTR impact</t>
  </si>
  <si>
    <t>took control a little later than planned. Created a lack of motivation, and lower revs/client base</t>
  </si>
  <si>
    <t>goal is to go to PTT</t>
  </si>
  <si>
    <t>nextel iDEN base - how likely to migrate to 3G, 843,000 subs - all go to 3G?</t>
  </si>
  <si>
    <t>taxes never expire. Credits will be used in the future…</t>
  </si>
  <si>
    <t>when can we expect 4G in Peru?</t>
  </si>
  <si>
    <t>coverage is the same as Nextel today. When nationwide launch?</t>
  </si>
  <si>
    <t>before YE for launch, when confident good coverage in the main cities..</t>
  </si>
  <si>
    <t>$50m held in escrow. Received $7m due to nii's non compliance on certain things</t>
  </si>
  <si>
    <t>Low subs growth, weak macro. Expect a flatter market?</t>
  </si>
  <si>
    <t>might happen</t>
  </si>
  <si>
    <t>Growth impacted by lower subsidies</t>
  </si>
  <si>
    <t>Long distance revenue in Chile</t>
  </si>
  <si>
    <t>2% of total revenue of the company. Will not disappear, will transform</t>
  </si>
  <si>
    <t>Fiscal reform in Chile. Proposal which could deter the payment of dividend</t>
  </si>
  <si>
    <t>need to review it</t>
  </si>
  <si>
    <t>On-net/off-net differentiation?</t>
  </si>
  <si>
    <t>No relevant impact on this..not an issue</t>
  </si>
  <si>
    <t>Cleaning up subs base at Entel Hogar</t>
  </si>
  <si>
    <t>Leverage</t>
  </si>
  <si>
    <t>A good level of investment grade is important - not just a leverage function</t>
  </si>
  <si>
    <t>Might run from 2.0x to 2.5x between now and next year, subject to Peru. Comfortable with this given Chilean strength</t>
  </si>
  <si>
    <t>CHP 9-10bn per month on revenue</t>
  </si>
  <si>
    <t>CHP 1bn per month on EBITDA</t>
  </si>
  <si>
    <t>target is low to mid-level clients. 46,000: 80% were telephony clients. No investment there, so makes no difference</t>
  </si>
  <si>
    <t>if customers don't pay, there are no losses</t>
  </si>
  <si>
    <t>were a little too aggressive at the beginning in certain segments</t>
  </si>
  <si>
    <t>Chile margin guidance</t>
  </si>
  <si>
    <t>28-29% previously, now could be a little higher</t>
  </si>
  <si>
    <t>should be close to 30% for this year, and going forward</t>
  </si>
  <si>
    <t>Hope for 20-25% share for a 3rd operator</t>
  </si>
  <si>
    <t>Viatel (Vietnames operator). Been there for a number of years; strategy is to be in the low end of the market.</t>
  </si>
  <si>
    <t>2 years of negative EBITDA. Starting now. Depends on growth of client base</t>
  </si>
  <si>
    <t>LILAC tracker</t>
  </si>
  <si>
    <t>Never been done by a UK company. Rather complex</t>
  </si>
  <si>
    <t>5m of implementation. Tax and shareholder approval</t>
  </si>
  <si>
    <t>Will remain one company</t>
  </si>
  <si>
    <t>one board, one conference call</t>
  </si>
  <si>
    <t>3 P&amp;Ls</t>
  </si>
  <si>
    <t>Liberty Global Group (Europe)</t>
  </si>
  <si>
    <t>LILAC Group</t>
  </si>
  <si>
    <t>Listed only in the US?</t>
  </si>
  <si>
    <t>VTR has a $1.4bn bond outstanding. So this merits standalone 10Qs, 10Ks</t>
  </si>
  <si>
    <t>under the fixed income part of the website</t>
  </si>
  <si>
    <t>Puerto Rico and VTR will have a separate debt structure</t>
  </si>
  <si>
    <t>Likely to be $ reporting</t>
  </si>
  <si>
    <t>Buy-backs?</t>
  </si>
  <si>
    <t>just before LILAC issued….board will contribute cash to LILAC, to potential fund M&amp;A</t>
  </si>
  <si>
    <t>board can use how to allocate buy back</t>
  </si>
  <si>
    <t>mainly it will be liberty global group</t>
  </si>
  <si>
    <t>LILAC can issue shares for M&amp;A</t>
  </si>
  <si>
    <t>Expect a rebalance toward LatAm investors</t>
  </si>
  <si>
    <t>Replicate European strategy i.e. acquire assets</t>
  </si>
  <si>
    <t>Hard to know whether the tracker will trade at a discount</t>
  </si>
  <si>
    <t>Voting process is very complex</t>
  </si>
  <si>
    <t>New articles need to be voted</t>
  </si>
  <si>
    <t>page 10 of the doc (one of the Q&amp;A)</t>
  </si>
  <si>
    <t>Class meetings mean A, B, C vote separately</t>
  </si>
  <si>
    <t>separate votes for A, B, C, and K (75%) in favour. B is in the bag!</t>
  </si>
  <si>
    <t>Chris Noyes, CFO of LILAC and head of IR</t>
  </si>
  <si>
    <t>Bitel</t>
  </si>
  <si>
    <t>Bitel (Viettel)</t>
  </si>
  <si>
    <t>899MHz-915MHz and 944MHz-960MHz frequency bands in Lima and Callao,</t>
  </si>
  <si>
    <t>902MHz-915MHz and 947MHz-960MHz ranges for the rest of the country</t>
  </si>
  <si>
    <t>1900 MHz spectrum acquired</t>
  </si>
  <si>
    <t>Q3 14</t>
  </si>
  <si>
    <t>iDEN</t>
  </si>
  <si>
    <t>3G PTT</t>
  </si>
  <si>
    <t>Mobile broadband</t>
  </si>
  <si>
    <t>Subs split, 000s</t>
  </si>
  <si>
    <t>Net adds, 000s</t>
  </si>
  <si>
    <t>250-300</t>
  </si>
  <si>
    <t>200-250</t>
  </si>
  <si>
    <t>EBITDA guidance</t>
  </si>
  <si>
    <t>"2 years of losses", from Q2 14 results</t>
  </si>
  <si>
    <t xml:space="preserve">"2 years </t>
  </si>
  <si>
    <t>Capex in US$m</t>
  </si>
  <si>
    <t>Capex guidance (US$m)</t>
  </si>
  <si>
    <t>Entel Peru - 53% of subs are post-paid (usally mainly iDEN though)</t>
  </si>
  <si>
    <t>Promotions with new launch</t>
  </si>
  <si>
    <t>mainly subsidies, rather than price. Targeting high end customers</t>
  </si>
  <si>
    <t>Other operators moved to match new subsidy levels</t>
  </si>
  <si>
    <t>Ps9.8bn of one-offs impacting taxes</t>
  </si>
  <si>
    <t>Ex-Entel Peru, opex down 7% (presumably including the MTR cut)</t>
  </si>
  <si>
    <t>Capex down 10% in Chile, reflecting the weaker macro: postponing spend</t>
  </si>
  <si>
    <t>When 30 MHz of 700 MHz spectrum available</t>
  </si>
  <si>
    <t>Data usage in Chile?</t>
  </si>
  <si>
    <t>some pre-pay subs use more data than post-paid</t>
  </si>
  <si>
    <t>c.50% of monthly sales are smartphones on pre-paid, which are not subsidised</t>
  </si>
  <si>
    <t>50% of total pre-pay with smartphones pretty soon</t>
  </si>
  <si>
    <t>33% of revs on pre-paid are VAS - most is data. Some cannibalisation of SMS</t>
  </si>
  <si>
    <t>60% y/y growth of VAS on pre paid??</t>
  </si>
  <si>
    <t>attractive offer in terms of price, pre-paid SIMs</t>
  </si>
  <si>
    <t>very few post-paid subsidies</t>
  </si>
  <si>
    <t>offering a lot of data</t>
  </si>
  <si>
    <t>targeting low end customers - the opposite way to Entel</t>
  </si>
  <si>
    <t>20-30% of pre-pay subs in Chile have very large ARPU</t>
  </si>
  <si>
    <t>started form scratch</t>
  </si>
  <si>
    <t>technical issues with the spectrum - was a little messy</t>
  </si>
  <si>
    <t>A, B, C mirrored shares for LILAC</t>
  </si>
  <si>
    <t>why not spin off?</t>
  </si>
  <si>
    <t>under umbrella of liberty global, tech benefits</t>
  </si>
  <si>
    <t>senior management of the whole thing..self-interest</t>
  </si>
  <si>
    <t>dividends, etc, will lie with respective shareholders</t>
  </si>
  <si>
    <t>vote needed before anything happens</t>
  </si>
  <si>
    <t>Call with honkers</t>
  </si>
  <si>
    <t>details on financials needed</t>
  </si>
  <si>
    <t>central costs need to be allocated</t>
  </si>
  <si>
    <t>ebitda</t>
  </si>
  <si>
    <t>us$</t>
  </si>
  <si>
    <t>ev</t>
  </si>
  <si>
    <t>ev/ebitda</t>
  </si>
  <si>
    <t>ebitda going up…made an acquisition in puerto rico</t>
  </si>
  <si>
    <t>changed approach to mobile, lower losses</t>
  </si>
  <si>
    <t>central costs est</t>
  </si>
  <si>
    <t>post costs</t>
  </si>
  <si>
    <t>debt</t>
  </si>
  <si>
    <t>PR</t>
  </si>
  <si>
    <t>equity</t>
  </si>
  <si>
    <t>min</t>
  </si>
  <si>
    <t>5% of liberty's worth</t>
  </si>
  <si>
    <t>1 share in LILAC for 20 Lib Global</t>
  </si>
  <si>
    <t>latam - higher growth</t>
  </si>
  <si>
    <t>v different to europe</t>
  </si>
  <si>
    <t>gross debt</t>
  </si>
  <si>
    <t xml:space="preserve"> $</t>
  </si>
  <si>
    <t>total</t>
  </si>
  <si>
    <t>issued</t>
  </si>
  <si>
    <t>$</t>
  </si>
  <si>
    <t>Q4 14</t>
  </si>
  <si>
    <t>2G/3G/4G</t>
  </si>
  <si>
    <t>Capex in US$</t>
  </si>
  <si>
    <t>Entel (Americatel)</t>
  </si>
  <si>
    <t>Date</t>
  </si>
  <si>
    <t>mhz</t>
  </si>
  <si>
    <t>range</t>
  </si>
  <si>
    <t>1.7-2.1</t>
  </si>
  <si>
    <t>notes</t>
  </si>
  <si>
    <t>"4G" spectrum</t>
  </si>
  <si>
    <t>Price, $</t>
  </si>
  <si>
    <t>Capex, USD (Chile, other)</t>
  </si>
  <si>
    <t>Ameritel</t>
  </si>
  <si>
    <t>USD capex</t>
  </si>
  <si>
    <t>Q1 15</t>
  </si>
  <si>
    <t>Q2 15</t>
  </si>
  <si>
    <t>Paid to Nextel</t>
  </si>
  <si>
    <t>2013 OpFCF losses</t>
  </si>
  <si>
    <t>2014 OpFCF losses</t>
  </si>
  <si>
    <t>DCF value end-15</t>
  </si>
  <si>
    <t>Chile revenue</t>
  </si>
  <si>
    <t>Chile EBITDA</t>
  </si>
  <si>
    <t>Call number 2</t>
  </si>
  <si>
    <t>No form 10</t>
  </si>
  <si>
    <t>Mauricio Ramos</t>
  </si>
  <si>
    <t xml:space="preserve">no direct claim on the asset </t>
  </si>
  <si>
    <t>Tracker shares?</t>
  </si>
  <si>
    <t>lib glob europe</t>
  </si>
  <si>
    <t>lilac</t>
  </si>
  <si>
    <t>combined result</t>
  </si>
  <si>
    <t>one company, one board</t>
  </si>
  <si>
    <t>Full accounts for LILAC</t>
  </si>
  <si>
    <t>10K on each</t>
  </si>
  <si>
    <t>Not sure when all this will be available</t>
  </si>
  <si>
    <t>Chris Noyes as CFO</t>
  </si>
  <si>
    <t>email re corporate access</t>
  </si>
  <si>
    <t>US only</t>
  </si>
  <si>
    <t>20 Lib Glob A shares</t>
  </si>
  <si>
    <t>Buy-back?</t>
  </si>
  <si>
    <t>only 5% of the total company</t>
  </si>
  <si>
    <t>Own 60% of Puerto Rico</t>
  </si>
  <si>
    <t>Choice acquisition is funded at the local (PR) level</t>
  </si>
  <si>
    <t>departure a surprise to many</t>
  </si>
  <si>
    <t>CEO</t>
  </si>
  <si>
    <t>Next generation of Verizon boxes in Chile and Peru</t>
  </si>
  <si>
    <t>Board to determine the exact date for the tracker launch. Q2 event</t>
  </si>
  <si>
    <t>will determine the record date</t>
  </si>
  <si>
    <t>Cash that LILAC will get has not yet been determined</t>
  </si>
  <si>
    <t>Some shareholders may need to sell</t>
  </si>
  <si>
    <t>technicallly will be able to pay a dividend at LILAC</t>
  </si>
  <si>
    <t>Call with IR (April 2015)</t>
  </si>
  <si>
    <t>Q4 costs</t>
  </si>
  <si>
    <t>$18-20m</t>
  </si>
  <si>
    <t>$40m of subsidy, $50m of costs in Q4</t>
  </si>
  <si>
    <t>Started with a very aggressive promotion for high income customers</t>
  </si>
  <si>
    <t>Aggressive in terms of commercial offers, subsidies have come down in Q1</t>
  </si>
  <si>
    <t>EBITDA losses in 2015 higher than 2014. Worst quarter was Q4 2014</t>
  </si>
  <si>
    <t>Biggest 4G coverage in Peru. Claro missed out on 4G licence</t>
  </si>
  <si>
    <t>800 sites initially. 900 sites added (2/3/4G all on sites added). So 1700 today</t>
  </si>
  <si>
    <t>Claro has 3-3500; TEF has 3500-4000</t>
  </si>
  <si>
    <t>75% of POPs coverage (2g/3G/4G). Big cities and the coast - coverage is good</t>
  </si>
  <si>
    <t>last year upgraded existing Nextel network to single RAN tech (2/3/4G)</t>
  </si>
  <si>
    <t>$200m-220m of capex</t>
  </si>
  <si>
    <t>Q1 subs - in very good shape. Awareness with the brand very good</t>
  </si>
  <si>
    <t>Based on data, and unlimited voice. Cross-network also included, whereas AMX and TEF more based on on-net</t>
  </si>
  <si>
    <t xml:space="preserve">MTR rate today. Starting April: MTR </t>
  </si>
  <si>
    <t xml:space="preserve">Entel </t>
  </si>
  <si>
    <t>3.2 US cents</t>
  </si>
  <si>
    <t>Claro, AMX</t>
  </si>
  <si>
    <t>2.0 US cents</t>
  </si>
  <si>
    <t>US$15m</t>
  </si>
  <si>
    <t xml:space="preserve">net is $10m </t>
  </si>
  <si>
    <t>Q4 termination</t>
  </si>
  <si>
    <t>costs</t>
  </si>
  <si>
    <t>Savings should be close to US$15m in 2015</t>
  </si>
  <si>
    <t>Continue to be assymetric for 2015/16/17</t>
  </si>
  <si>
    <t>TEF and Claro responded to the good Q4 had. TEF more rational, Claro very aggressive</t>
  </si>
  <si>
    <t>conditions for the offers have small print i.e. for one hour per day</t>
  </si>
  <si>
    <t>in particular on subsidies</t>
  </si>
  <si>
    <t>cross-net bundles on voice</t>
  </si>
  <si>
    <t>In 2014, $600m</t>
  </si>
  <si>
    <t>2015, 16, 17</t>
  </si>
  <si>
    <t>$610-650m for capex group</t>
  </si>
  <si>
    <t>$410-440m</t>
  </si>
  <si>
    <t>mainly coming from mobile</t>
  </si>
  <si>
    <t>700 MHz projects have not been started. Some delays in assignment of the spectrum</t>
  </si>
  <si>
    <t>wireline…last year spent a lot on corporate projects</t>
  </si>
  <si>
    <t>Delays to third stage of data centre</t>
  </si>
  <si>
    <t>postpone fibre roll out to residential customers</t>
  </si>
  <si>
    <t>50% of capex spend today is maintenance</t>
  </si>
  <si>
    <t>October 2013 - stopped unlimited data plans</t>
  </si>
  <si>
    <t xml:space="preserve">7-8 May, Deutsche </t>
  </si>
  <si>
    <t>Santander</t>
  </si>
  <si>
    <t>$m (unless specified)</t>
  </si>
  <si>
    <t xml:space="preserve">Total value </t>
  </si>
  <si>
    <t>Total value, CHP bn</t>
  </si>
  <si>
    <t>per share, CHP</t>
  </si>
  <si>
    <t>OpEx trends</t>
  </si>
  <si>
    <t>Chile, CHPm</t>
  </si>
  <si>
    <t xml:space="preserve">y/y </t>
  </si>
  <si>
    <t>Licence acquired</t>
  </si>
  <si>
    <t>TEF/Claro</t>
  </si>
  <si>
    <t>Today</t>
  </si>
  <si>
    <t>Apr-15 to Mar-16</t>
  </si>
  <si>
    <t>Apr-16 to Mar-17</t>
  </si>
  <si>
    <t>Apr-17 to Mar-18</t>
  </si>
  <si>
    <t>US cents</t>
  </si>
  <si>
    <t>Entel discount</t>
  </si>
  <si>
    <t>Peru termination cost in Q1?</t>
  </si>
  <si>
    <t>Financing - flexibility in case needed, don't think will need at this stage</t>
  </si>
  <si>
    <t>Cash generation better in Q1 but net debt up by CHP100bn</t>
  </si>
  <si>
    <t>Margins in Chile</t>
  </si>
  <si>
    <t>Launched new lower-end post paid plans in Q1, having initally targeted higher end post-paid</t>
  </si>
  <si>
    <t>not marketing 4G until have the 700 MHz</t>
  </si>
  <si>
    <t>Peru. 440,000 2.6GHz clients. &gt;50% of 4G clients</t>
  </si>
  <si>
    <t>No MTR benefit in Q1. Starts in Q2</t>
  </si>
  <si>
    <t>Main change of network scale took place in 2014</t>
  </si>
  <si>
    <t>Main shareholder very involved</t>
  </si>
  <si>
    <t>If Peru needs more resources, can cope with it</t>
  </si>
  <si>
    <t>If things go more radically, would consider all options. Competing against global players</t>
  </si>
  <si>
    <t>AWS spectrum</t>
  </si>
  <si>
    <t>Vittel</t>
  </si>
  <si>
    <t>GSM</t>
  </si>
  <si>
    <t>900 MHz spectrum at TEF not yet ready to be deployed</t>
  </si>
  <si>
    <t>Notes</t>
  </si>
  <si>
    <t xml:space="preserve">Entel also has 50 GHz of 3.5 GHz spectrum </t>
  </si>
  <si>
    <t>Entel is using the 54 MHz of 2.5 GHz for Wimax</t>
  </si>
  <si>
    <t>700 MHz auction: 3 blocks of 2*15. Potentially in H1 2015</t>
  </si>
  <si>
    <t>Service revs</t>
  </si>
  <si>
    <t>DCF today</t>
  </si>
  <si>
    <t xml:space="preserve"> of which</t>
  </si>
  <si>
    <t>AWS</t>
  </si>
  <si>
    <t>700 MHz</t>
  </si>
  <si>
    <t>MHz</t>
  </si>
  <si>
    <t>FX</t>
  </si>
  <si>
    <t>Per MHz/POP</t>
  </si>
  <si>
    <t>business today worth</t>
  </si>
  <si>
    <t>800 SMR</t>
  </si>
  <si>
    <t xml:space="preserve">less </t>
  </si>
  <si>
    <t>Q1 2015 OpFCF losses</t>
  </si>
  <si>
    <t>Sites</t>
  </si>
  <si>
    <t>EBITDA margins Peru</t>
  </si>
  <si>
    <t>Service revenue, SOL</t>
  </si>
  <si>
    <t>14-20 CAGR</t>
  </si>
  <si>
    <t>Chilean ROIC</t>
  </si>
  <si>
    <t>New, SOLm</t>
  </si>
  <si>
    <t>Call with LILAC (July 2015)</t>
  </si>
  <si>
    <t>Shares will trade July 2</t>
  </si>
  <si>
    <t>From Q2</t>
  </si>
  <si>
    <t>Lib Global Gp</t>
  </si>
  <si>
    <t>LILAC</t>
  </si>
  <si>
    <t>Consolidated</t>
  </si>
  <si>
    <t>Still own 60% of PR</t>
  </si>
  <si>
    <t xml:space="preserve">Dividends to 40% </t>
  </si>
  <si>
    <t>2015 LILAC group CF limited</t>
  </si>
  <si>
    <t>LILAC mid single digit revs growth</t>
  </si>
  <si>
    <t>FCF will be limited</t>
  </si>
  <si>
    <t>Capex/sales will be 17-19% of revenue</t>
  </si>
  <si>
    <t>PR has been c.20%</t>
  </si>
  <si>
    <t>Tax of CHP22bn of cash taxes</t>
  </si>
  <si>
    <t>Low 20%s</t>
  </si>
  <si>
    <t>step up each year to the high 20% level</t>
  </si>
  <si>
    <t>low to mid 30%s</t>
  </si>
  <si>
    <t>government mandated tax increases thereafter. In the outer years…5 years out</t>
  </si>
  <si>
    <t>27% is for 2018</t>
  </si>
  <si>
    <t>120 MB max currently</t>
  </si>
  <si>
    <t>video the most competitive</t>
  </si>
  <si>
    <t>horizon to be launched in Chile in 2015</t>
  </si>
  <si>
    <t>mid-tier bundles are a lot of the same</t>
  </si>
  <si>
    <t>focus on mobile</t>
  </si>
  <si>
    <t>moved away from hybrid</t>
  </si>
  <si>
    <t>MVNO with TEF</t>
  </si>
  <si>
    <t>120,000 subs at the moment</t>
  </si>
  <si>
    <t>focused on leveraging superior cable</t>
  </si>
  <si>
    <t>B2B - nothing today</t>
  </si>
  <si>
    <t>might require some capital. Has been generally capital light</t>
  </si>
  <si>
    <t>docsis 3.1 existing 860 MHz. Half is over 1 GB. 85% is over 750 MHz</t>
  </si>
  <si>
    <t>OTT Netflix in the market</t>
  </si>
  <si>
    <t>No horizon like product. VTR have the best entertainment bundle</t>
  </si>
  <si>
    <t>DirecTV has certain Latam content which VTR does not have</t>
  </si>
  <si>
    <t>Homes passed</t>
  </si>
  <si>
    <t>Project Lightning…where it makes economic sense</t>
  </si>
  <si>
    <t>Based on this, company wide review of opportunities</t>
  </si>
  <si>
    <t>80% 2-way cable. 20% in more challenging areas</t>
  </si>
  <si>
    <t>Competition</t>
  </si>
  <si>
    <t>mid-tier bundles about $5 cheaper</t>
  </si>
  <si>
    <t>VTR strong broadband adds</t>
  </si>
  <si>
    <t>TEF is the main competitor</t>
  </si>
  <si>
    <t>Nothing much from Entel</t>
  </si>
  <si>
    <t>economics not working</t>
  </si>
  <si>
    <t>wifi opportunity. 5m hotspots in Europe</t>
  </si>
  <si>
    <t>opportunity bucket</t>
  </si>
  <si>
    <t>use knowledge</t>
  </si>
  <si>
    <t>Puerto Rico</t>
  </si>
  <si>
    <t>Over 1m homes. &gt;80% of HH in PR</t>
  </si>
  <si>
    <t>2 way homes passed. 120 MB</t>
  </si>
  <si>
    <t>looking to upgrade Choice</t>
  </si>
  <si>
    <t>Mainly competing with Claro</t>
  </si>
  <si>
    <t>Not as competitive on video</t>
  </si>
  <si>
    <t>Spanish tier</t>
  </si>
  <si>
    <t>4x Claro speeds is a copper network</t>
  </si>
  <si>
    <t>They have launched IPTV</t>
  </si>
  <si>
    <t>Have a deal with Dish</t>
  </si>
  <si>
    <t>TV: high 30s</t>
  </si>
  <si>
    <t>Voice low 20s</t>
  </si>
  <si>
    <t>BB: 50% split with Claro</t>
  </si>
  <si>
    <t>One link deal in 2011. Search light brough the cash, Lib Glob brought assets</t>
  </si>
  <si>
    <t>Macro is crappy</t>
  </si>
  <si>
    <t>No public info on Choice</t>
  </si>
  <si>
    <t>Mainly focused on BB</t>
  </si>
  <si>
    <t>Their base was mainly BB</t>
  </si>
  <si>
    <t>opportunity to penetrate with video on voice</t>
  </si>
  <si>
    <t>M&amp;A opportunities</t>
  </si>
  <si>
    <t>repeat of UPC in the late 90's</t>
  </si>
  <si>
    <t>assets owned by larger media firms/families</t>
  </si>
  <si>
    <t>LILAC pays $8.5m for support from Lib Global, plus M&amp;A team</t>
  </si>
  <si>
    <t>Malone has lost money in Argentina</t>
  </si>
  <si>
    <t>New management</t>
  </si>
  <si>
    <t>New CEO</t>
  </si>
  <si>
    <t>Started as CTO UPC Netherlands</t>
  </si>
  <si>
    <t>MD of UPC Hungary. Tough aggressive market</t>
  </si>
  <si>
    <t>He's Argentinian</t>
  </si>
  <si>
    <t>LILAC was $1.4m corporate charge</t>
  </si>
  <si>
    <t>first 12 months</t>
  </si>
  <si>
    <t>Up $2-3bn for 2015</t>
  </si>
  <si>
    <r>
      <t xml:space="preserve">$11m incremental charges. </t>
    </r>
    <r>
      <rPr>
        <u/>
        <sz val="11"/>
        <color theme="1"/>
        <rFont val="Calibri"/>
        <family val="2"/>
        <scheme val="minor"/>
      </rPr>
      <t>Below OCF</t>
    </r>
  </si>
  <si>
    <t>$1.4bn bond has been swapped</t>
  </si>
  <si>
    <t>$ rate, swap rate</t>
  </si>
  <si>
    <t>Lib Global will contribute $100m of cash</t>
  </si>
  <si>
    <t>ADSL</t>
  </si>
  <si>
    <t>Cable</t>
  </si>
  <si>
    <t xml:space="preserve">Wimax </t>
  </si>
  <si>
    <t>FTTH</t>
  </si>
  <si>
    <t>other</t>
  </si>
  <si>
    <t xml:space="preserve">Other wired </t>
  </si>
  <si>
    <t xml:space="preserve">Other wireless </t>
  </si>
  <si>
    <t>Hasta 56 kbps</t>
  </si>
  <si>
    <t>Más de 56 kbps y hasta 128 kbps</t>
  </si>
  <si>
    <t>Más de 128 kbps y hasta 256 kbps</t>
  </si>
  <si>
    <t>Más de 256 kbps y hasta 512 kbps</t>
  </si>
  <si>
    <t>Más de 512 kbps y hasta 1 Mbps</t>
  </si>
  <si>
    <t>Más de 1 Mbps y hasta 2 Mbps</t>
  </si>
  <si>
    <t>Más de 2 Mbps y hasta 5 Mbps</t>
  </si>
  <si>
    <t>Más de 5 Mbps y hasta 10 Mbps</t>
  </si>
  <si>
    <t>Más de 10 Mbps y hasta 100 Mbps</t>
  </si>
  <si>
    <t>Más de 100 Mbps y hasta 1 Gbps</t>
  </si>
  <si>
    <t>Más de 1 Gbps</t>
  </si>
  <si>
    <t>No clasificadas</t>
  </si>
  <si>
    <t>512 kbps to 1 Mbps</t>
  </si>
  <si>
    <t>1-2 Mbps</t>
  </si>
  <si>
    <t>2-5 Mbps</t>
  </si>
  <si>
    <t>5-10 Mbps</t>
  </si>
  <si>
    <t>10-100 Mbps</t>
  </si>
  <si>
    <t>&gt;100 Mbps</t>
  </si>
  <si>
    <t>&lt;512 kbps</t>
  </si>
  <si>
    <t>512 kbps to 2 Mbps</t>
  </si>
  <si>
    <t>2-12 Mbps</t>
  </si>
  <si>
    <t>12-34 Mbps</t>
  </si>
  <si>
    <t>Liberty Global PR</t>
  </si>
  <si>
    <t>RGUs</t>
  </si>
  <si>
    <t>Choice *</t>
  </si>
  <si>
    <t>as % HH</t>
  </si>
  <si>
    <t>Rev/RGU</t>
  </si>
  <si>
    <t>Revenue, US$ m</t>
  </si>
  <si>
    <t>EBITDA, US$m **</t>
  </si>
  <si>
    <t>* August 31, 2014</t>
  </si>
  <si>
    <t>** Estimate for 2014 EBITDA based off 2015 estimate provided by Liberty of $44.6m</t>
  </si>
  <si>
    <t>In-market</t>
  </si>
  <si>
    <t>In-market Chile</t>
  </si>
  <si>
    <t>AMX and TEF unlikely to sell</t>
  </si>
  <si>
    <t>GTD likely to lead to reg.scrutiny</t>
  </si>
  <si>
    <t>Potential interest in DirecTV if AT&amp;T are a seller</t>
  </si>
  <si>
    <t>In-market Puerto Rico</t>
  </si>
  <si>
    <t>Out of market</t>
  </si>
  <si>
    <t>MEGA's CEO is also looking at M&amp;A opportunities outside of home market</t>
  </si>
  <si>
    <t>Chile and Argentina have been mentioned in the past</t>
  </si>
  <si>
    <t>Mike Fries board position at Televisa is interesting, with the long game</t>
  </si>
  <si>
    <t>being a potential Televisa cable, MEGA, VTR tie-up</t>
  </si>
  <si>
    <t>Denis O'Brien has recently filed for an IPO</t>
  </si>
  <si>
    <t>Struggling top line means Digicell might be open to offers</t>
  </si>
  <si>
    <t>Megacable (Mexico)</t>
  </si>
  <si>
    <t>Digicel (Caribbean, CA)</t>
  </si>
  <si>
    <t>ETB (Colombia)</t>
  </si>
  <si>
    <t>Regional Colombian DSL/HFC operation</t>
  </si>
  <si>
    <t>The regional state government (81%) unlikely to sell now</t>
  </si>
  <si>
    <t>Investments in FTTH and LTE licence are interesting</t>
  </si>
  <si>
    <t>With 80% of homes passed suggests limited capacity</t>
  </si>
  <si>
    <t>Argentina</t>
  </si>
  <si>
    <t>Argentine born CEO might be tempted to look locally</t>
  </si>
  <si>
    <t>Local cable in the grip of Grupo Clarin</t>
  </si>
  <si>
    <t>Inability to repatriate cash would be a big concern</t>
  </si>
  <si>
    <t>Nextel (2G mobile) the only asset for sale</t>
  </si>
  <si>
    <t xml:space="preserve">CWC (Caribbean +) </t>
  </si>
  <si>
    <t xml:space="preserve">Recently acquired Colombus International (Colombian 3-play; </t>
  </si>
  <si>
    <t>data/corporate across Caribbean, Central America, Andean)</t>
  </si>
  <si>
    <t>US$1.69bn of revenue, 17 countries across Caribbean, Lata, Seychelles</t>
  </si>
  <si>
    <t>$1.85bn  or 7.8x EBITDA (annualised H1 14)</t>
  </si>
  <si>
    <t>Implied an EV of US$7-8bn</t>
  </si>
  <si>
    <t>US$2.8bn revenue; EBITDA US$1.2bn (Year to Mar-15)</t>
  </si>
  <si>
    <t>Operations in 31 countries across the Caribbean and Central America (El Salvador and Panama)</t>
  </si>
  <si>
    <t>Assets in Caribbean and Panama</t>
  </si>
  <si>
    <t>MTR adj (from TEF)</t>
  </si>
  <si>
    <t xml:space="preserve"> - of which post-paid </t>
  </si>
  <si>
    <t>Post Q2 15</t>
  </si>
  <si>
    <t>Balance sheet. How high can leverage go</t>
  </si>
  <si>
    <t>When was pre-paid launched, how trending in Q3?</t>
  </si>
  <si>
    <t>Losses widened in Peru, top line momentum slowed?</t>
  </si>
  <si>
    <t>iDEN loss accelerated?</t>
  </si>
  <si>
    <t>Competitive response?</t>
  </si>
  <si>
    <t>another quarter of high working capital? What's driving this?</t>
  </si>
  <si>
    <t>4.7bn charge</t>
  </si>
  <si>
    <t>3.5bn charge</t>
  </si>
  <si>
    <t>Call</t>
  </si>
  <si>
    <t>Questions</t>
  </si>
  <si>
    <t>unions charge</t>
  </si>
  <si>
    <t>cost focus</t>
  </si>
  <si>
    <t>Corporate restructuring</t>
  </si>
  <si>
    <t>extent of efficiencies</t>
  </si>
  <si>
    <t>Chilean charge</t>
  </si>
  <si>
    <t>8.2bn</t>
  </si>
  <si>
    <t>Charge in Peru</t>
  </si>
  <si>
    <t>Capillarity not there yet on pre-paid</t>
  </si>
  <si>
    <t>Fuller launch coming in the future</t>
  </si>
  <si>
    <t>Pre-paid launch coming when?</t>
  </si>
  <si>
    <t>Half of iDEN churn migrates to Entel</t>
  </si>
  <si>
    <t>1 April cut…would have been up 45% q/q</t>
  </si>
  <si>
    <t>Have cash on hand…don't see adding gross debt to the company</t>
  </si>
  <si>
    <t>Capex has declined…despite $240m of spend in Peru this year</t>
  </si>
  <si>
    <t>Debt ratios…rating agencies are comfortable with investment grade levels</t>
  </si>
  <si>
    <t>EBIT breakeven in Peru?</t>
  </si>
  <si>
    <t>depends on how the growth goes</t>
  </si>
  <si>
    <t>Should peak around September this year, important decline by YE this year</t>
  </si>
  <si>
    <t>2/ network quality in Peru and Chile</t>
  </si>
  <si>
    <t>1/ Dec 14: 340 less than YE</t>
  </si>
  <si>
    <t>4.7bn pesos in June. Should recover this by YE</t>
  </si>
  <si>
    <t>reduced capex in Chile. But, more related to growth expectations rather than quality</t>
  </si>
  <si>
    <t>TEF has improved in Chile, as well</t>
  </si>
  <si>
    <t>Working capital</t>
  </si>
  <si>
    <t>In Peru, very good in Lima and bigger areas/Pacific ocean, but much less coverage than competitors in regions</t>
  </si>
  <si>
    <t>3/ iDEN subs</t>
  </si>
  <si>
    <t>shut down iDEN?</t>
  </si>
  <si>
    <t>rolled out 500 sites, half are built by ourselves, half through 3rd parties</t>
  </si>
  <si>
    <t>2000 sites…60-70% Entel owned, rest are shared</t>
  </si>
  <si>
    <t>Selling sites is an option, but doesn't sound imminent. Not a priority</t>
  </si>
  <si>
    <t>4/ subs slowdown in 2G/3G/4G?</t>
  </si>
  <si>
    <t>decline in adds comes from pre-paid. Focus is on post-paid.</t>
  </si>
  <si>
    <t>until end Q2, no real focus on pre-paid</t>
  </si>
  <si>
    <t>Q4 and Q1 was on pre-paid. Mainly came from brand rather than Entel's efforts</t>
  </si>
  <si>
    <t>but the quality of these was low</t>
  </si>
  <si>
    <t>underlying post paid trends are better</t>
  </si>
  <si>
    <t>5/ anything new from targeted pre-paid campaigns</t>
  </si>
  <si>
    <t>improving, but nothing material yet</t>
  </si>
  <si>
    <t>ready to launch by YE</t>
  </si>
  <si>
    <t>6/ &gt;3.5x. 4x is the covenant which would first be hit, and feel happy with this</t>
  </si>
  <si>
    <t>working capital - Peru, value added tax cannot be recovered. 15%. 100 in capex, 115 inc VAT</t>
  </si>
  <si>
    <t>the peak will be this year, then this will be offset. Should be recovered in 2016</t>
  </si>
  <si>
    <t>7/ 4G 6% of base. What % of traffic</t>
  </si>
  <si>
    <t>700 MHz usage timing</t>
  </si>
  <si>
    <t xml:space="preserve">no details to hand on 4G </t>
  </si>
  <si>
    <t>works well outdoor, not so good indoor. Should work materially once indoor improves</t>
  </si>
  <si>
    <t>could be launched in H2 this year, in certain cities</t>
  </si>
  <si>
    <t>this will come from 700 MHz band</t>
  </si>
  <si>
    <t>"true 4G"</t>
  </si>
  <si>
    <t>8/ Peru 700 MHz</t>
  </si>
  <si>
    <t>may move to Q1 next year</t>
  </si>
  <si>
    <t>Presidential election this year</t>
  </si>
  <si>
    <t xml:space="preserve">Highest penetration of messaging </t>
  </si>
  <si>
    <t>WC</t>
  </si>
  <si>
    <t>Net debt to EBITDA</t>
  </si>
  <si>
    <t>WOM offers</t>
  </si>
  <si>
    <t>Plan S</t>
  </si>
  <si>
    <t>GB</t>
  </si>
  <si>
    <t>XL</t>
  </si>
  <si>
    <t>SMS</t>
  </si>
  <si>
    <t>&lt; 2</t>
  </si>
  <si>
    <t>Speeds, Mbps</t>
  </si>
  <si>
    <t>3G</t>
  </si>
  <si>
    <t>LTE</t>
  </si>
  <si>
    <t>unlimited</t>
  </si>
  <si>
    <t>Price</t>
  </si>
  <si>
    <t>Pre Q3 15</t>
  </si>
  <si>
    <t>WOM</t>
  </si>
  <si>
    <t>new roaming deal with AMX, set to cancel Entel by YE</t>
  </si>
  <si>
    <t>complaint with other ops as that are blocking AWS use</t>
  </si>
  <si>
    <t>2.3-2.4</t>
  </si>
  <si>
    <t>Q3 15</t>
  </si>
  <si>
    <t>ARPU, US$ (rep)</t>
  </si>
  <si>
    <t>ARPU, SOL</t>
  </si>
  <si>
    <t>Service revs, SOL</t>
  </si>
  <si>
    <t>Equipment, SOL</t>
  </si>
  <si>
    <t>% EBITDA margin</t>
  </si>
  <si>
    <t>Post-paid</t>
  </si>
  <si>
    <t>Pre-paid</t>
  </si>
  <si>
    <t>Service experience</t>
  </si>
  <si>
    <t>Brand awareness</t>
  </si>
  <si>
    <t>100% awareness</t>
  </si>
  <si>
    <t>Network</t>
  </si>
  <si>
    <t>160 new POPs</t>
  </si>
  <si>
    <t>Added 1000 in one year</t>
  </si>
  <si>
    <t>Capillarity on wholesale channels</t>
  </si>
  <si>
    <t>70% of pre-paid sales from wholesale</t>
  </si>
  <si>
    <t>Completely changed pre-paid offering</t>
  </si>
  <si>
    <t>free social networks when recharge</t>
  </si>
  <si>
    <t>acquisiton cost on pre-paid is close to zero</t>
  </si>
  <si>
    <t>commission is 1-2 months of ARPU</t>
  </si>
  <si>
    <t>Want churn to come down though</t>
  </si>
  <si>
    <t>Balance sheet. Leverage by YE?</t>
  </si>
  <si>
    <t>expansive cycle…churn will rise in the coming quarters</t>
  </si>
  <si>
    <t>Above 10% of revenue share in Peru today. This was a milestone</t>
  </si>
  <si>
    <t>Subsidies in Q3, progressed</t>
  </si>
  <si>
    <t>EBITDA into Q4</t>
  </si>
  <si>
    <t>Accommodating lower capex in Chile</t>
  </si>
  <si>
    <t>Capex guidance is changing…? Driven by Chile</t>
  </si>
  <si>
    <t>ARPU on pre-paid, vs the ones added end-Q4</t>
  </si>
  <si>
    <t>Subsidies in Peru</t>
  </si>
  <si>
    <t>Longer-term based on service, but in the near-term subsidies, rather than lowering price</t>
  </si>
  <si>
    <t>Expect subsidies will start to decline when market matures</t>
  </si>
  <si>
    <t>Selective high end subsidies on post-paid</t>
  </si>
  <si>
    <t>EBITDA up 13% y/y, is this sustainable?</t>
  </si>
  <si>
    <t>Capex down?</t>
  </si>
  <si>
    <t>Room to grow EBITDA</t>
  </si>
  <si>
    <t>Revs growing close to 2-3% for Chile , lower than the 5% currently</t>
  </si>
  <si>
    <t>Chile reduce</t>
  </si>
  <si>
    <t>$600-700m</t>
  </si>
  <si>
    <t>Historic average</t>
  </si>
  <si>
    <t>$400-500m</t>
  </si>
  <si>
    <t>per year in the near-term</t>
  </si>
  <si>
    <t>$450m for 2015</t>
  </si>
  <si>
    <t>$250m</t>
  </si>
  <si>
    <t>slightly higher, as more rapid roll out</t>
  </si>
  <si>
    <t>Now Chile</t>
  </si>
  <si>
    <t>Pre-paid subs today?</t>
  </si>
  <si>
    <t>Historically, no real value proposal. Just added subscribers</t>
  </si>
  <si>
    <t>Through to Q1 this year</t>
  </si>
  <si>
    <t>Curiosity, new brand. No great offer</t>
  </si>
  <si>
    <t>Today, June/Jul/Aug. changed tools of sales process.</t>
  </si>
  <si>
    <t>Incentivised not at beginning, but at recharge</t>
  </si>
  <si>
    <t>reviewed commissions</t>
  </si>
  <si>
    <t>network is better today, in the regions</t>
  </si>
  <si>
    <t>Client growth is very sustainable</t>
  </si>
  <si>
    <t>Some reverse in Q4 expected</t>
  </si>
  <si>
    <t>EBITDA will improve in Peru for sure</t>
  </si>
  <si>
    <t>Nothing changes too much, leverage will be similar to Q3 (3.5x)</t>
  </si>
  <si>
    <t>Better WC movements in Q3</t>
  </si>
  <si>
    <t>Strength in traffic from WOM. Will they use Claro in 2016?</t>
  </si>
  <si>
    <t>ARPU: post-paid, $20, pre-pay $3-4</t>
  </si>
  <si>
    <t>Pre-paid in Peru, 20-21m subs</t>
  </si>
  <si>
    <t>Entel is taking the average pre-paid client in Peru</t>
  </si>
  <si>
    <t>Roaming agreement from WOM</t>
  </si>
  <si>
    <t>Want to have investment grade rating. This is important</t>
  </si>
  <si>
    <t>Today, no equity raise on the agenda</t>
  </si>
  <si>
    <t>2400 sites 2015</t>
  </si>
  <si>
    <t>Q4 16/Q1 17 for EBITDA breakeven…still the best guess</t>
  </si>
  <si>
    <t>Towers</t>
  </si>
  <si>
    <t>Cash</t>
  </si>
  <si>
    <t>Q4 15</t>
  </si>
  <si>
    <t>Gross debt, less derivative</t>
  </si>
  <si>
    <t>$/sol disclosed</t>
  </si>
  <si>
    <t>Implied ARPU</t>
  </si>
  <si>
    <t>Implied handset revs</t>
  </si>
  <si>
    <t>Additional revs per Q</t>
  </si>
  <si>
    <t>Reported revenue</t>
  </si>
  <si>
    <t xml:space="preserve">WC </t>
  </si>
  <si>
    <t>Equity raise</t>
  </si>
  <si>
    <t>price</t>
  </si>
  <si>
    <t>share issued</t>
  </si>
  <si>
    <t>Peru (Apr 2015)</t>
  </si>
  <si>
    <t>2016E</t>
  </si>
  <si>
    <t>2017E</t>
  </si>
  <si>
    <t>2018E</t>
  </si>
  <si>
    <t>Q1 16</t>
  </si>
  <si>
    <t>CHP50bn on Q1 Chile capex</t>
  </si>
  <si>
    <t>USD200m in Peru this year</t>
  </si>
  <si>
    <t>MTR in Peru</t>
  </si>
  <si>
    <t>$8-9m per year impact on EBITDA</t>
  </si>
  <si>
    <t>Capex in Chile</t>
  </si>
  <si>
    <t>Capex in Peru</t>
  </si>
  <si>
    <t>Clean up of 25k post-paid</t>
  </si>
  <si>
    <t>wrongly classifed, should have been pre-paid</t>
  </si>
  <si>
    <t xml:space="preserve">on track to hit this </t>
  </si>
  <si>
    <t>to reach 5m subs by YE in Peru</t>
  </si>
  <si>
    <t>guidance unchanged</t>
  </si>
  <si>
    <t>margins strong again, at 37%</t>
  </si>
  <si>
    <t>can be maintained?</t>
  </si>
  <si>
    <t>mid-term, perhaps sustainable</t>
  </si>
  <si>
    <t>short-term, could be competitive issues</t>
  </si>
  <si>
    <t>$3.5bn</t>
  </si>
  <si>
    <t>Peru spectrum included in this</t>
  </si>
  <si>
    <t>"don't take as a given"…!</t>
  </si>
  <si>
    <t>Service revs, $ sol rate fixed</t>
  </si>
  <si>
    <t>Q2 16</t>
  </si>
  <si>
    <t>Revenue (ex Entel Peru)</t>
  </si>
  <si>
    <t>Entel Peru revenue</t>
  </si>
  <si>
    <t>EBITDA (ex Entel Peru)</t>
  </si>
  <si>
    <t>Entel Peru EBITDA</t>
  </si>
  <si>
    <t>Q3 16</t>
  </si>
  <si>
    <t>Post as % base</t>
  </si>
  <si>
    <t xml:space="preserve">payout </t>
  </si>
  <si>
    <t>dividend</t>
  </si>
  <si>
    <t>as % equity</t>
  </si>
  <si>
    <t>9m 16</t>
  </si>
  <si>
    <t>Almost all Chile cities will be LTE enabled by Q1 2017</t>
  </si>
  <si>
    <t>Now, plans more focused now on fostering on data usage</t>
  </si>
  <si>
    <t>Lots of promotions on handsets earlier this year</t>
  </si>
  <si>
    <t>Q4 normally has very high subsidies, think may be a little less elevated</t>
  </si>
  <si>
    <t>Very strong competitive environment</t>
  </si>
  <si>
    <t>Phase where moving from handset promotions to focus on data</t>
  </si>
  <si>
    <t>Entel was the first mover on this</t>
  </si>
  <si>
    <t xml:space="preserve">Regulator in Peru asked to disconnect a few 100k lines who had &gt;10 lines in service. </t>
  </si>
  <si>
    <t>Perhaps 1m in total potentially</t>
  </si>
  <si>
    <t>79k lines in questions; 40k were cleaned up in Q3</t>
  </si>
  <si>
    <t>$500m of cash in??</t>
  </si>
  <si>
    <t>IFRS</t>
  </si>
  <si>
    <t>derivatives marked to market. negative impact on accruals</t>
  </si>
  <si>
    <t>0.1x EBITDA impact</t>
  </si>
  <si>
    <t>CHP35bn due to accruals</t>
  </si>
  <si>
    <t>working capital also…less collections</t>
  </si>
  <si>
    <t>should be the fall</t>
  </si>
  <si>
    <t>some tax payments in Chile</t>
  </si>
  <si>
    <t>Expect lower than guidance than for FY</t>
  </si>
  <si>
    <t>$620m combined Chile + Peru</t>
  </si>
  <si>
    <t>Some way below that</t>
  </si>
  <si>
    <t>softer market in Chile, spending at a different pace</t>
  </si>
  <si>
    <t>Peru - renegotiation with vendors, on civil works</t>
  </si>
  <si>
    <t>$3.5bn plan for 5 years of spending</t>
  </si>
  <si>
    <t>No real changes to this</t>
  </si>
  <si>
    <t>Entel Investor Day</t>
  </si>
  <si>
    <t>7000 RGUs sold in November</t>
  </si>
  <si>
    <t xml:space="preserve">fixed wireless. </t>
  </si>
  <si>
    <t>mar-apr</t>
  </si>
  <si>
    <t>10-20/month</t>
  </si>
  <si>
    <t>without advertising</t>
  </si>
  <si>
    <t>bitel market share</t>
  </si>
  <si>
    <t>entel</t>
  </si>
  <si>
    <t>movistar</t>
  </si>
  <si>
    <t>claro</t>
  </si>
  <si>
    <t>movistar and claro giving away unlimited 4G</t>
  </si>
  <si>
    <t>what spectrum being used??</t>
  </si>
  <si>
    <t>comp for TIM Brasil??</t>
  </si>
  <si>
    <t>11% margins, or 18% by YE if we take out growth driven costs, subsidies</t>
  </si>
  <si>
    <t>Sebastian Domingues</t>
  </si>
  <si>
    <t>CEO of Entel Peru</t>
  </si>
  <si>
    <t>pre-paid 6-8% churn quarter to quarter</t>
  </si>
  <si>
    <t>Q4 16</t>
  </si>
  <si>
    <t>q/q</t>
  </si>
  <si>
    <t>MTRs down 24% to 9.4 peso/min. just 5% of service revs</t>
  </si>
  <si>
    <t>corporate tax going up to 25.5% in 2017, from 24% in 2016</t>
  </si>
  <si>
    <t>700 band in Chile will be used for entel hogar going forward</t>
  </si>
  <si>
    <t>Peru - met almost all main objectives</t>
  </si>
  <si>
    <t>less pressure on subsidies, might continue this year</t>
  </si>
  <si>
    <t>will help keep margins relatively stable</t>
  </si>
  <si>
    <t>pre-pay continues to decline.</t>
  </si>
  <si>
    <t>Hogar, mobile BB is 10% of revenue. This is where will focus growth</t>
  </si>
  <si>
    <t>end-16, 80-90k homes passed with fiber. 120k to be added in 2017. target 200k by YE 2017</t>
  </si>
  <si>
    <t>&gt;2k points of presence. Comparable vs peers, all 2/3/4G. Can be selective going forward</t>
  </si>
  <si>
    <t>selling SIMs only in certain instances</t>
  </si>
  <si>
    <t>3.14x EBITDA on an underlying basis end Q4</t>
  </si>
  <si>
    <t>a turning point in mobile subs dynamics in Chile?</t>
  </si>
  <si>
    <t>Mobile in Chile</t>
  </si>
  <si>
    <t>competitors selling form pre to post paid so far. To continue in 2017?</t>
  </si>
  <si>
    <t>strong 4G network is key</t>
  </si>
  <si>
    <t>until end Q3…network meant subs went to competitors</t>
  </si>
  <si>
    <t>a wash at EBITDA</t>
  </si>
  <si>
    <t>close to $1bn revs, 25% share by YE</t>
  </si>
  <si>
    <t>OpFCF breakeven in 2018 (by end of year?)</t>
  </si>
  <si>
    <t>tax assets?</t>
  </si>
  <si>
    <t>CHP200bn, how long will it take to use?</t>
  </si>
  <si>
    <t>almost entirely entel peru</t>
  </si>
  <si>
    <t>will take a long time</t>
  </si>
  <si>
    <t>never expire</t>
  </si>
  <si>
    <t>can use against 50% of profits</t>
  </si>
  <si>
    <t xml:space="preserve">VAT in Peru CHP90bn </t>
  </si>
  <si>
    <t>On BS, the CHP200bn; half might be recovered some time this year</t>
  </si>
  <si>
    <t>half will be recovered in 2017</t>
  </si>
  <si>
    <t>not just taxes, some other assets also</t>
  </si>
  <si>
    <t>1.7m in 2016 (total), maybe a little more in 2017 - 2m hopefully</t>
  </si>
  <si>
    <t>1.5m subs from pre-paid, 500k from post-paid</t>
  </si>
  <si>
    <t>pre-paid: 90% is SIM only</t>
  </si>
  <si>
    <t>MTRs in April will change again in Peru</t>
  </si>
  <si>
    <t>$150m</t>
  </si>
  <si>
    <t>$400-430</t>
  </si>
  <si>
    <t>$550-580m</t>
  </si>
  <si>
    <t>$150 per home passed</t>
  </si>
  <si>
    <t>$20m cost</t>
  </si>
  <si>
    <t xml:space="preserve">200k </t>
  </si>
  <si>
    <t>aerial</t>
  </si>
  <si>
    <t>Peru - salaries and expenses?</t>
  </si>
  <si>
    <t>Chile competition</t>
  </si>
  <si>
    <t>Strong competition in the near term</t>
  </si>
  <si>
    <t>Q1 17</t>
  </si>
  <si>
    <t>Q2 17</t>
  </si>
  <si>
    <t xml:space="preserve">Dividend </t>
  </si>
  <si>
    <t>pre paid adds</t>
  </si>
  <si>
    <t>Q1 17e</t>
  </si>
  <si>
    <t>CHP2bn impact from severance?</t>
  </si>
  <si>
    <t>Economy quite stagnant</t>
  </si>
  <si>
    <t>Increasing data allowances on data</t>
  </si>
  <si>
    <t>Focus on high end data</t>
  </si>
  <si>
    <t>Promotions on pre-paid?</t>
  </si>
  <si>
    <t>Quality not sacrificed</t>
  </si>
  <si>
    <t>Higher data plans</t>
  </si>
  <si>
    <t>True 4G with 700 MHz plans in place. Then increased allowances</t>
  </si>
  <si>
    <t>200k homes passed with fibre</t>
  </si>
  <si>
    <t>$400-450m spend in Chile</t>
  </si>
  <si>
    <t xml:space="preserve">Severance </t>
  </si>
  <si>
    <t>CHP2bn</t>
  </si>
  <si>
    <t>Big losses particularly in March</t>
  </si>
  <si>
    <t>Claro much more successful here</t>
  </si>
  <si>
    <t>Portability in Chile</t>
  </si>
  <si>
    <t>definition issue at Subtel</t>
  </si>
  <si>
    <t>3G pre-pay to post-pay: not in portability</t>
  </si>
  <si>
    <t>almost zero net portability on post-paid</t>
  </si>
  <si>
    <t xml:space="preserve">on pre-paid, 90% </t>
  </si>
  <si>
    <t>Claro very very aggressive. Expanding data allowances</t>
  </si>
  <si>
    <t>done a good job on portability</t>
  </si>
  <si>
    <t>Chile - some of the higher expenses?</t>
  </si>
  <si>
    <t>better quality of subs</t>
  </si>
  <si>
    <t>Peru gross adds were much higher than last year</t>
  </si>
  <si>
    <t>700 MHz auction, May 16</t>
  </si>
  <si>
    <t xml:space="preserve"> above all in the provinces. America Movil's subsidiary also acquired local operators Olo and TVS Wireless in May 2016 to further strengthen its 4G offering.</t>
  </si>
  <si>
    <t xml:space="preserve">Claro Peru (America Movil) has added over 1,200 localities to its 4G-LTE network over the past year, including 245 so far this year, to reach a total 2,229 throughout the country. In a statement, the company said it had focused on </t>
  </si>
  <si>
    <t>deploying 4G infrastructure in the Lima region and the country's main cities and that it was already using part of the 700 MHz spectrum acquired in May 2016,</t>
  </si>
  <si>
    <t>LTE sites</t>
  </si>
  <si>
    <t>Launched 4G over 1900 in May 2014</t>
  </si>
  <si>
    <t>Launched in 700 MHz band in Sept 2016</t>
  </si>
  <si>
    <t>Entel had &gt;2000 sites with 4G at FY 2016 results</t>
  </si>
  <si>
    <t>4G</t>
  </si>
  <si>
    <t>3-3500</t>
  </si>
  <si>
    <t>3.5-4000</t>
  </si>
  <si>
    <t>Spectrum history</t>
  </si>
  <si>
    <t>Entel (Americatel Peru) and Movistar win 1.7-2.1 (4G) spectrum (2x20 MHz)</t>
  </si>
  <si>
    <t>AMX dropped plans to buy 10 MHz of spectrum at 1.7-2.1 GHz</t>
  </si>
  <si>
    <t>Feb 17 article on Claro</t>
  </si>
  <si>
    <t>Claro launches on the 1900 MHz band</t>
  </si>
  <si>
    <t>Acquisition of Olo de Peru and TVS Wireless gave Claro 2.5 GHz spectrum</t>
  </si>
  <si>
    <t>3.5x net debt to EBITDA thought to YE 2017</t>
  </si>
  <si>
    <t>2018 a little bit lower</t>
  </si>
  <si>
    <t>&lt;2.5x in 2019</t>
  </si>
  <si>
    <t>H2 17 EBITDA losses will be lower in Peru</t>
  </si>
  <si>
    <t>Losses will be $100-110m</t>
  </si>
  <si>
    <t>much lower in H2</t>
  </si>
  <si>
    <t>churn is declining in pre-paid</t>
  </si>
  <si>
    <t>reducing churn in post paid, 4% per month</t>
  </si>
  <si>
    <t>TEF is 3-4% post-paid. TEF had 5.1%</t>
  </si>
  <si>
    <t>not selling handsets, or subsidies</t>
  </si>
  <si>
    <t>Q2 seasonal weakness, mothers day/fathers day/back to school</t>
  </si>
  <si>
    <t>break-even: some time in 2018 (or very near)</t>
  </si>
  <si>
    <t>April-17, cut in the MTR</t>
  </si>
  <si>
    <t>24% cut. 6% impact on Peru service revenue</t>
  </si>
  <si>
    <t>asymmetric mtr</t>
  </si>
  <si>
    <t>gap is being reduced each year</t>
  </si>
  <si>
    <t>cost the same</t>
  </si>
  <si>
    <t>booking, after 24% cut</t>
  </si>
  <si>
    <t>cost</t>
  </si>
  <si>
    <t>2.0 us cents</t>
  </si>
  <si>
    <t>no asymmetry</t>
  </si>
  <si>
    <t>net payer of MTR…and will be for a long long time</t>
  </si>
  <si>
    <t>in absolute terms</t>
  </si>
  <si>
    <t>$14m per quarter</t>
  </si>
  <si>
    <t>big cut expected</t>
  </si>
  <si>
    <t>Claro, TEF had previously run with on-net offers. Now off-net (July)</t>
  </si>
  <si>
    <t>TEF not yet offered</t>
  </si>
  <si>
    <t xml:space="preserve">new pre-paid offer, unlimited off-net. Jan 17 </t>
  </si>
  <si>
    <t>Pre-paid is predominantly voice</t>
  </si>
  <si>
    <t>Post Q2 17 chat with IR - August 17</t>
  </si>
  <si>
    <t>Mins</t>
  </si>
  <si>
    <t>Apps</t>
  </si>
  <si>
    <t>WhatsApp</t>
  </si>
  <si>
    <t>Facebook Basic</t>
  </si>
  <si>
    <t>Messenger</t>
  </si>
  <si>
    <t>Waze</t>
  </si>
  <si>
    <t>y</t>
  </si>
  <si>
    <t>Facebook fotos</t>
  </si>
  <si>
    <t>Instagram</t>
  </si>
  <si>
    <t>Spotify</t>
  </si>
  <si>
    <t>Apple Music</t>
  </si>
  <si>
    <t>You tube</t>
  </si>
  <si>
    <t>unlim</t>
  </si>
  <si>
    <t>Soundcloud</t>
  </si>
  <si>
    <t>Subsidy</t>
  </si>
  <si>
    <t>US$</t>
  </si>
  <si>
    <t>Postpay</t>
  </si>
  <si>
    <t>Prepay</t>
  </si>
  <si>
    <t>Data, GB</t>
  </si>
  <si>
    <t>Data, MB</t>
  </si>
  <si>
    <t>Days</t>
  </si>
  <si>
    <t>y*</t>
  </si>
  <si>
    <t>* available for 30 days</t>
  </si>
  <si>
    <t>Peru pricing - Sept 17</t>
  </si>
  <si>
    <t>Chile pricing - Sept 17</t>
  </si>
  <si>
    <t>Facebook</t>
  </si>
  <si>
    <t>Twitter</t>
  </si>
  <si>
    <t>Chile competition strong</t>
  </si>
  <si>
    <t>Data competition on post-paid</t>
  </si>
  <si>
    <t>Marketing cycle shortened</t>
  </si>
  <si>
    <t>Pre-2015 - 6m promotion period</t>
  </si>
  <si>
    <t>2016 - only 3m promotions</t>
  </si>
  <si>
    <t>2017 - only 1m promotions</t>
  </si>
  <si>
    <t>Entel was v defensive. Didn't change much</t>
  </si>
  <si>
    <t>Launched new offers, based on data in Q4 2016</t>
  </si>
  <si>
    <t>August 1st</t>
  </si>
  <si>
    <t>low tier plans, CHP10,000 ($16) - start to give unlimited social networks</t>
  </si>
  <si>
    <t>unlimited plans introduced</t>
  </si>
  <si>
    <t>A lot of capacity in Chile</t>
  </si>
  <si>
    <t>Aug-9th</t>
  </si>
  <si>
    <t>Claro followed - much the same, with some differences</t>
  </si>
  <si>
    <t>Aug-10th</t>
  </si>
  <si>
    <t>WOM reacted - couldn't quite respond</t>
  </si>
  <si>
    <t>Also focus on post-paid. Migrating pre to post</t>
  </si>
  <si>
    <t>Portability on post paid was negative in 2016, 2000 / quarter</t>
  </si>
  <si>
    <t>July - positive portability…9-10,000 in August</t>
  </si>
  <si>
    <t>Will lose some overage revenue</t>
  </si>
  <si>
    <t>BUT some moving up</t>
  </si>
  <si>
    <t>Will see what's happened</t>
  </si>
  <si>
    <t>Movistar followed also, end August, CHP40,000 unlimited. But less unlimited networks</t>
  </si>
  <si>
    <t>Usage??</t>
  </si>
  <si>
    <t>Before more competitive offer, growth in data was not high.</t>
  </si>
  <si>
    <t xml:space="preserve">Data usage - </t>
  </si>
  <si>
    <t>post paid, end June - 3-3.5 GB for June</t>
  </si>
  <si>
    <t>pre-paid</t>
  </si>
  <si>
    <t>2-300 MB</t>
  </si>
  <si>
    <t>had to pay for usage. Hit the caps previously</t>
  </si>
  <si>
    <t>other competitors…were growing data</t>
  </si>
  <si>
    <t>had "unlimited" - had fair use…turned down the speed</t>
  </si>
  <si>
    <t>2013 these were introduced to this</t>
  </si>
  <si>
    <t>most of the driver is video or music</t>
  </si>
  <si>
    <t>Not today bundling in Spotify etc</t>
  </si>
  <si>
    <t>Big deal…in terms of taxes. On-line services - no VAT today</t>
  </si>
  <si>
    <t>Big retailer, Falavela, started to talk about on-line services…</t>
  </si>
  <si>
    <t>&lt;$100, don't pay VAT in Chile, from Amazon, Alibaba etc</t>
  </si>
  <si>
    <t>Trying to get the government to establish a ruling on this</t>
  </si>
  <si>
    <t>For those without a international credit card, can't buy Spotify</t>
  </si>
  <si>
    <t>700 MHz is 100% now</t>
  </si>
  <si>
    <t>has materially helped capacity</t>
  </si>
  <si>
    <t>Pre-pay</t>
  </si>
  <si>
    <t>Losing subs</t>
  </si>
  <si>
    <t>2016 - started to sell a lot of SIM only</t>
  </si>
  <si>
    <t>impacted churn</t>
  </si>
  <si>
    <t>SIMs - sometimes the sales channels buy the SIMs, receive the comms. Change from Entel to another operator, and receive another commission</t>
  </si>
  <si>
    <t>started Q4 16</t>
  </si>
  <si>
    <t>4 year Digital Transformation</t>
  </si>
  <si>
    <t>starting 2017, a lot of prep for pre-paid subs</t>
  </si>
  <si>
    <t>had a system freeze</t>
  </si>
  <si>
    <t>New offer - giving social media also on pre-paid</t>
  </si>
  <si>
    <t>CHP2,000</t>
  </si>
  <si>
    <t>unlimited WhatsApp</t>
  </si>
  <si>
    <t>Have added Facebook, for the same price</t>
  </si>
  <si>
    <t>CHP3,000</t>
  </si>
  <si>
    <t>7 days - unlimited WhatsApp, Facebook, Twitter, Music</t>
  </si>
  <si>
    <t>15 days of unlimited WhatsApp or 7 days of Facebook, Twitter</t>
  </si>
  <si>
    <t>Price increases not possible, a lot of capacity and WOM very aggressive</t>
  </si>
  <si>
    <t>15 days</t>
  </si>
  <si>
    <t xml:space="preserve">30 days </t>
  </si>
  <si>
    <t>2 GB</t>
  </si>
  <si>
    <t>unlimited WhatsApp, OR</t>
  </si>
  <si>
    <t xml:space="preserve">Facebook, Twitter, Instagram and 500 MB </t>
  </si>
  <si>
    <t>Difficult to monetise data</t>
  </si>
  <si>
    <t>Capacity is too high, also amongst competitors</t>
  </si>
  <si>
    <t>WOM has limited network and spectrum. Roaming with Claro and Movistar</t>
  </si>
  <si>
    <t>60% post-paid subs for WOM</t>
  </si>
  <si>
    <t>Q3 17</t>
  </si>
  <si>
    <t>Average GOU</t>
  </si>
  <si>
    <t>Q3 17 earnings call</t>
  </si>
  <si>
    <t>Economy better, 4% growth</t>
  </si>
  <si>
    <t>Competition continues to be v tough</t>
  </si>
  <si>
    <t>close to 20% revenue share</t>
  </si>
  <si>
    <t>Unlimited plans, ARPU, capex</t>
  </si>
  <si>
    <t>No real impact on ARPU, spin up to offset spin down</t>
  </si>
  <si>
    <t>Capex - spectrum that Entel is good, no change</t>
  </si>
  <si>
    <t xml:space="preserve">Households covered </t>
  </si>
  <si>
    <t>Fibre YE, close to 200,000 homes passed</t>
  </si>
  <si>
    <t>4-5 years: 1m in next 4-5 years</t>
  </si>
  <si>
    <t>Highly dense clusters in the country</t>
  </si>
  <si>
    <t>Low density - 4G Plus</t>
  </si>
  <si>
    <t>Subsidies</t>
  </si>
  <si>
    <t>1.2 m homes passed FTTx</t>
  </si>
  <si>
    <t>3.4m homes passed HFC</t>
  </si>
  <si>
    <t>Beta testing, launch perhaps in Q1</t>
  </si>
  <si>
    <t>Net satisfaction for TEF is low perhaps 40%</t>
  </si>
  <si>
    <t>55 clusters</t>
  </si>
  <si>
    <t xml:space="preserve">Overlap </t>
  </si>
  <si>
    <t>4G + Fiber, more than 1.5m</t>
  </si>
  <si>
    <t>30-35% of penetration</t>
  </si>
  <si>
    <t>350,000 subs therefore</t>
  </si>
  <si>
    <t>Will come down, an important decline</t>
  </si>
  <si>
    <t>Receive</t>
  </si>
  <si>
    <t>Pay</t>
  </si>
  <si>
    <t>Change</t>
  </si>
  <si>
    <t>Per Q</t>
  </si>
  <si>
    <t>net EBITDA, $m</t>
  </si>
  <si>
    <t>net mins, millions</t>
  </si>
  <si>
    <t>service revs</t>
  </si>
  <si>
    <t>implied cost</t>
  </si>
  <si>
    <t>implied out mins</t>
  </si>
  <si>
    <t>implied in mins</t>
  </si>
  <si>
    <t>Q4 17</t>
  </si>
  <si>
    <t>Fixed wireless</t>
  </si>
  <si>
    <t>Q1 18</t>
  </si>
  <si>
    <t>Q2 18</t>
  </si>
  <si>
    <t>Q4 17 call</t>
  </si>
  <si>
    <t>Revs of 3-4% growth (close to inflation)</t>
  </si>
  <si>
    <t>Guidance for 2018 - Entel ex-Peru</t>
  </si>
  <si>
    <t>EBITDA +/- 1%</t>
  </si>
  <si>
    <t>Capex higher due to FTTH</t>
  </si>
  <si>
    <t>1.5m subs added</t>
  </si>
  <si>
    <t>1.1 pre, 0.4 post</t>
  </si>
  <si>
    <t>Revs +20% or so</t>
  </si>
  <si>
    <t>Break-even at some point in H2</t>
  </si>
  <si>
    <t>Total capex up $50-60m in 2018</t>
  </si>
  <si>
    <t>Q3 18</t>
  </si>
  <si>
    <t>Q4 18</t>
  </si>
  <si>
    <t>Guidance run through after Q1 18</t>
  </si>
  <si>
    <t>still EBITDA positive in H2 in Peru given IFRS?</t>
  </si>
  <si>
    <t>$ EBITDA</t>
  </si>
  <si>
    <t>Reported ARPU (incs handsets from Q1 17)</t>
  </si>
  <si>
    <t>How should we think about phasing of Peru EBITDA over 2018</t>
  </si>
  <si>
    <t>Chile guidance now looks optimistic</t>
  </si>
  <si>
    <t>Leverage?</t>
  </si>
  <si>
    <t>Expect growth from FTTH…190,000 HPs, penetration here?</t>
  </si>
  <si>
    <t>Entel Hogar using 3.5 GHz</t>
  </si>
  <si>
    <t>450,000 - RGUs can grow 20-30%</t>
  </si>
  <si>
    <t>some will be from FTTH</t>
  </si>
  <si>
    <t>Highly competitive - data plans at high end</t>
  </si>
  <si>
    <t>Started to offer unlimited calls last year</t>
  </si>
  <si>
    <t>all ops offered this Q</t>
  </si>
  <si>
    <t>incoming traffic is growing therefore</t>
  </si>
  <si>
    <t>MTRs down 67% though</t>
  </si>
  <si>
    <t>Structural changes moving in the right direction</t>
  </si>
  <si>
    <t>Post-pay ARPU around $20</t>
  </si>
  <si>
    <t>Pre-pay ARPU around $3</t>
  </si>
  <si>
    <t>Not as hot as it was through to Q3</t>
  </si>
  <si>
    <t>Networks will start to get stretched</t>
  </si>
  <si>
    <t>net portability is coming off a little</t>
  </si>
  <si>
    <t>Extra data allowances, overage</t>
  </si>
  <si>
    <t>7% of total revenue last year</t>
  </si>
  <si>
    <t>CHP20bn in Q1 2017…is now almost 50% below</t>
  </si>
  <si>
    <t>q1 17</t>
  </si>
  <si>
    <t>q1 18</t>
  </si>
  <si>
    <t>Digitalisation</t>
  </si>
  <si>
    <t>working hard</t>
  </si>
  <si>
    <t>CHP30-40bn for the year…mostly in first 3 quarters for the year…</t>
  </si>
  <si>
    <t>Break-even closer to Q1 19, Q3 on the old basis</t>
  </si>
  <si>
    <t>Peru break-even/IFRS</t>
  </si>
  <si>
    <t>Growing share rapidly</t>
  </si>
  <si>
    <t>No number as a policy</t>
  </si>
  <si>
    <t>3.6/3.7x is comfortable with debt profile</t>
  </si>
  <si>
    <t>High working capital in Q1</t>
  </si>
  <si>
    <t>Should decline by YE  18: 3-3.5x</t>
  </si>
  <si>
    <t>2x is the target</t>
  </si>
  <si>
    <t>X-ray of Chile…need to go to certain areas</t>
  </si>
  <si>
    <t>selectively in highly dense areas</t>
  </si>
  <si>
    <t>"30% said yes, would be first choice"</t>
  </si>
  <si>
    <t>52 clusters</t>
  </si>
  <si>
    <t>Plan is to cover 600 HPs next 3 years</t>
  </si>
  <si>
    <t>250,000 RGUs</t>
  </si>
  <si>
    <t>50 RGUs today</t>
  </si>
  <si>
    <t>ARPU change of definition</t>
  </si>
  <si>
    <t>With new a/c standards</t>
  </si>
  <si>
    <t>Take away revs from service, into equipment</t>
  </si>
  <si>
    <t>Covenant - up to 4x on old accounting</t>
  </si>
  <si>
    <t>IFRS changes will last for at least 1.5 years</t>
  </si>
  <si>
    <t>ARPU (old)</t>
  </si>
  <si>
    <t>Old service revenue</t>
  </si>
  <si>
    <t>Filed a national spectrum plan…</t>
  </si>
  <si>
    <t>Q4 - much smaller IFRS impacts</t>
  </si>
  <si>
    <t xml:space="preserve">Looking for stability in service revenue…last Q in y/y declines </t>
  </si>
  <si>
    <t>Some signs of stability on post-paid promotions</t>
  </si>
  <si>
    <t>fixed charges to offset overage / allowances to client</t>
  </si>
  <si>
    <t>Market more disciplined on subsidies</t>
  </si>
  <si>
    <t>took place until last year</t>
  </si>
  <si>
    <t>231,000 homes passed</t>
  </si>
  <si>
    <t>FTTx RGUs</t>
  </si>
  <si>
    <t>RGU / subs</t>
  </si>
  <si>
    <t>% pen</t>
  </si>
  <si>
    <t>FTTx homes passed</t>
  </si>
  <si>
    <t>Increased in entry level plans</t>
  </si>
  <si>
    <t>Removed certain promotions</t>
  </si>
  <si>
    <t>Financial expenses up on derivative costs</t>
  </si>
  <si>
    <t>Taxes booked…last Q from exchange rates (investments in). FX grew 9% per $, and hence grew</t>
  </si>
  <si>
    <t>Low liquidity end-Q3</t>
  </si>
  <si>
    <t>WC moves</t>
  </si>
  <si>
    <t>Some tax support</t>
  </si>
  <si>
    <t>Cash back to $70-80m by YE</t>
  </si>
  <si>
    <t>Plenty of credit lines needed</t>
  </si>
  <si>
    <t>Net debt / EBITDA should be at peak</t>
  </si>
  <si>
    <t>High data usage</t>
  </si>
  <si>
    <t>Churn in Peru</t>
  </si>
  <si>
    <t>Peru EBITDA margins</t>
  </si>
  <si>
    <t>High 20%s EBITDA margin</t>
  </si>
  <si>
    <t>Will take some time</t>
  </si>
  <si>
    <t>3-4 players…3rd player need to reach 25% of revs share (22% today)</t>
  </si>
  <si>
    <t>Today…a lot of EBITDA is acquisition cost</t>
  </si>
  <si>
    <t>If not grow, small positive in EBITDA</t>
  </si>
  <si>
    <t>Although this is not the way the biz is being run</t>
  </si>
  <si>
    <t>Severance payment in Q3</t>
  </si>
  <si>
    <t>More will follow</t>
  </si>
  <si>
    <t>800 Mhz from iDEN not being used</t>
  </si>
  <si>
    <t>2.5 GHz in Peru being returned?</t>
  </si>
  <si>
    <t>merging Entel Peru and Ameritel Peru</t>
  </si>
  <si>
    <t>Yes, some synergies</t>
  </si>
  <si>
    <t>Competition in Chile</t>
  </si>
  <si>
    <t>More rationale…why?</t>
  </si>
  <si>
    <t>Given very high data usage?</t>
  </si>
  <si>
    <t>Entel could use 700 Mhz band</t>
  </si>
  <si>
    <t>Newcomer with capacity in AWS bands</t>
  </si>
  <si>
    <t>So initially no cost of expansion….but this has now changed</t>
  </si>
  <si>
    <t>Almost all networks have more limited</t>
  </si>
  <si>
    <t>Roaming agreements needing to be rejuvenated</t>
  </si>
  <si>
    <t>$2bn market in Chile</t>
  </si>
  <si>
    <t>$100m of revenue annualised today</t>
  </si>
  <si>
    <t>2m</t>
  </si>
  <si>
    <t>good for low income, with no coverage</t>
  </si>
  <si>
    <t>highly dense areas</t>
  </si>
  <si>
    <t>600k in next 3-4 years</t>
  </si>
  <si>
    <t xml:space="preserve">Reach $300m of revenue…10% of this market, margins 30-35% </t>
  </si>
  <si>
    <t>Fixed (wireless / BB)</t>
  </si>
  <si>
    <t>2m homes through wireless</t>
  </si>
  <si>
    <t>So 2.6m in total coverage (wireless/fixed)</t>
  </si>
  <si>
    <t>Asset sales</t>
  </si>
  <si>
    <t>2000 towers which could be sold</t>
  </si>
  <si>
    <t>half of towers are 3rd party</t>
  </si>
  <si>
    <t>some could be sold</t>
  </si>
  <si>
    <t>Headwind initially, as postpone revenue recognition</t>
  </si>
  <si>
    <t>Future - will be more Neutral</t>
  </si>
  <si>
    <t>Sell a Plan tied to handset…anticipate revs (handsets upfront)</t>
  </si>
  <si>
    <t>so helps revs</t>
  </si>
  <si>
    <t>But…handsets and plans sold separately…no impact then from IFRS</t>
  </si>
  <si>
    <t>if bundling…a benefit in the short-term</t>
  </si>
  <si>
    <t>2019 vs 2018 - initial reduction this year, which won’t happen next year</t>
  </si>
  <si>
    <t>MVNO deal?</t>
  </si>
  <si>
    <t>Discussions ongoing…open to this</t>
  </si>
  <si>
    <t>Peru - CHP35bn negative at EBITDA…will be zero in 2019</t>
  </si>
  <si>
    <t>Impact on EBITDA from IFRS15…close to zero impact</t>
  </si>
  <si>
    <t>No specific pressures</t>
  </si>
  <si>
    <t>Next year - $550m maybe</t>
  </si>
  <si>
    <t>Lower than this year ($630m)</t>
  </si>
  <si>
    <t>25-30% revenue share in next 2/3 years</t>
  </si>
  <si>
    <t>EBITDA - FCF positive in 2021</t>
  </si>
  <si>
    <t>Capex: $620-640m  through to 2021</t>
  </si>
  <si>
    <t>$150-160</t>
  </si>
  <si>
    <t>No pressures for now</t>
  </si>
  <si>
    <t>Mainly on mobile</t>
  </si>
  <si>
    <t>Fibre also…some equipment</t>
  </si>
  <si>
    <t>EBITDA in Peru up $5m per year</t>
  </si>
  <si>
    <t>MTR - rate is set in Peru</t>
  </si>
  <si>
    <t>In Chile, not set yet</t>
  </si>
  <si>
    <t>in balance on MTRs in Chile</t>
  </si>
  <si>
    <t>so cut should not make much difference</t>
  </si>
  <si>
    <t>Q1 19</t>
  </si>
  <si>
    <t>Ongoing spectrum issues…threaten to delay 5G</t>
  </si>
  <si>
    <t>Appealed by Entel, Claro and Movistar</t>
  </si>
  <si>
    <t>3.5 GHz</t>
  </si>
  <si>
    <t>Issued in 2014…operators to hand back spectrum</t>
  </si>
  <si>
    <t>Ongoing in courts</t>
  </si>
  <si>
    <t>Froze spectrum</t>
  </si>
  <si>
    <t>50% released in Oct-18 ruling</t>
  </si>
  <si>
    <t>50 MHz block</t>
  </si>
  <si>
    <t>Claro, Movistar, VTR and GTD will have 30 MHz</t>
  </si>
  <si>
    <t>National spectrum Plan</t>
  </si>
  <si>
    <t>Caps</t>
  </si>
  <si>
    <t>Low</t>
  </si>
  <si>
    <t>50 MHz</t>
  </si>
  <si>
    <t>Mid</t>
  </si>
  <si>
    <t>60 MHz</t>
  </si>
  <si>
    <t>High</t>
  </si>
  <si>
    <t>200 MHz</t>
  </si>
  <si>
    <t>Breached 60 MHz cap</t>
  </si>
  <si>
    <t>New tender (proposed May-19)</t>
  </si>
  <si>
    <t>28 GHz</t>
  </si>
  <si>
    <t xml:space="preserve"> - mobile</t>
  </si>
  <si>
    <t xml:space="preserve"> - home</t>
  </si>
  <si>
    <t xml:space="preserve"> - connectivity / other</t>
  </si>
  <si>
    <t xml:space="preserve"> - home (wireless, fibre optic)</t>
  </si>
  <si>
    <t>Capex for 2019</t>
  </si>
  <si>
    <t>Leverage, IAS17, capped at 3.5x under by laws</t>
  </si>
  <si>
    <t>MTR cuts</t>
  </si>
  <si>
    <t xml:space="preserve"> Jan 25</t>
  </si>
  <si>
    <t xml:space="preserve"> Jan 1</t>
  </si>
  <si>
    <t>IFRS 16</t>
  </si>
  <si>
    <t>Lease liabilities</t>
  </si>
  <si>
    <t>Rights of use of leases</t>
  </si>
  <si>
    <t>3.5 GHz unfrozen…</t>
  </si>
  <si>
    <t>How is this being utilised now?</t>
  </si>
  <si>
    <t>"Outdoor antennas"</t>
  </si>
  <si>
    <t>Wireless broadband</t>
  </si>
  <si>
    <t>5-10</t>
  </si>
  <si>
    <t>indoor format</t>
  </si>
  <si>
    <t>outdoor</t>
  </si>
  <si>
    <t>Mbps</t>
  </si>
  <si>
    <t>Mobile ARPU</t>
  </si>
  <si>
    <t>"flat except for MTR"</t>
  </si>
  <si>
    <t>Q2 19</t>
  </si>
  <si>
    <t>Pre Q3 2019</t>
  </si>
  <si>
    <t>Check spectrum position</t>
  </si>
  <si>
    <t>ARPU down 11%  y/y in Q2 19 (CHP 8,118)</t>
  </si>
  <si>
    <t>New digital platforms July-19?</t>
  </si>
  <si>
    <t>Consumer</t>
  </si>
  <si>
    <t>+6%</t>
  </si>
  <si>
    <t>Mobile ex-MTR</t>
  </si>
  <si>
    <t xml:space="preserve"> +3%</t>
  </si>
  <si>
    <t>why down so much sequentially (given Jan 25th MTR cut)</t>
  </si>
  <si>
    <t>check revs impact</t>
  </si>
  <si>
    <t>check definition of ARPU…includes handet revs?</t>
  </si>
  <si>
    <t>Check ARPU vs service revenue</t>
  </si>
  <si>
    <t>EBITDA ex-IFRS is positive</t>
  </si>
  <si>
    <t>Convergence?</t>
  </si>
  <si>
    <t>FTTH plans</t>
  </si>
  <si>
    <t>Will be going forward</t>
  </si>
  <si>
    <t>Q4 18 reg released 50 MHz of 100 MHz (Entel has)</t>
  </si>
  <si>
    <t>Were using spectrum to deliver household wireless BB…can continue to deliver now</t>
  </si>
  <si>
    <t>delay to project, in June-18 started</t>
  </si>
  <si>
    <t>Other 50 MHz</t>
  </si>
  <si>
    <t>Can use it when regulator auctions another block</t>
  </si>
  <si>
    <t>100 MHz nationwide with Regulator</t>
  </si>
  <si>
    <t>More on a regional basis</t>
  </si>
  <si>
    <t>Entel cannot launch 5G today</t>
  </si>
  <si>
    <t>Auction delayed…not a problem</t>
  </si>
  <si>
    <t>18-24 months for 5G deployment</t>
  </si>
  <si>
    <t>50 MHz, of which 25 MHz with Regulator</t>
  </si>
  <si>
    <t>Other 50 MHz will be available</t>
  </si>
  <si>
    <t>TEF and WOM will both want</t>
  </si>
  <si>
    <t>3.5 need to be used in blocks of 40 MHz</t>
  </si>
  <si>
    <t>2x40 MHz…so maybe sell 20 MHz</t>
  </si>
  <si>
    <t>2 years to decide</t>
  </si>
  <si>
    <t>can sell, can give back concession, can adjust concession</t>
  </si>
  <si>
    <t>date not yet decided</t>
  </si>
  <si>
    <t>WOM has destroyed value</t>
  </si>
  <si>
    <t>More stable market. WOM has important market share of 14-15%</t>
  </si>
  <si>
    <t>Can't continue to be disruptive…as cannibalise existing base</t>
  </si>
  <si>
    <t>Q4 2017 -</t>
  </si>
  <si>
    <t>whole market very aggressive with promotions from this period</t>
  </si>
  <si>
    <t>finished nationwide deployment of spectrum</t>
  </si>
  <si>
    <t>let's use the network</t>
  </si>
  <si>
    <t>lead the market</t>
  </si>
  <si>
    <t>WOM initially had a lot of capacity</t>
  </si>
  <si>
    <t>Did it work?</t>
  </si>
  <si>
    <t>During 2018 - lower promotions, more stable market</t>
  </si>
  <si>
    <t>Selling more SIM-only plans</t>
  </si>
  <si>
    <t>Reduces service revenue..separate equipment from service</t>
  </si>
  <si>
    <t>Consumer segment</t>
  </si>
  <si>
    <t>80% of plans sold are SIM only</t>
  </si>
  <si>
    <t>Also in Enterprise segment</t>
  </si>
  <si>
    <t>Life cycle of equipment is being extended</t>
  </si>
  <si>
    <t>Subsidies not 100% out…loyalty plans…but specific situations</t>
  </si>
  <si>
    <t>Years ago…USD400m in handset cost</t>
  </si>
  <si>
    <t>Prices compensated for this</t>
  </si>
  <si>
    <t>Increased GB for the user…overage revenue fell</t>
  </si>
  <si>
    <t>Overage CHP96bn revenue in 2016</t>
  </si>
  <si>
    <t>CHP63bn</t>
  </si>
  <si>
    <t>CHP22bn</t>
  </si>
  <si>
    <t>These declines were in service revenue</t>
  </si>
  <si>
    <t>CHP20000</t>
  </si>
  <si>
    <t>use 40%</t>
  </si>
  <si>
    <t>cut to</t>
  </si>
  <si>
    <t>CHP 15000</t>
  </si>
  <si>
    <t>Entel lost more than the others…as was charging/monetising data</t>
  </si>
  <si>
    <t>Claro had unlimited data plans</t>
  </si>
  <si>
    <t>CHP12bn annualised level</t>
  </si>
  <si>
    <t>60% y/y overage</t>
  </si>
  <si>
    <t>Outlook</t>
  </si>
  <si>
    <t>Mobile revenue start to stabilise</t>
  </si>
  <si>
    <t>Q1 2020 should be stable</t>
  </si>
  <si>
    <t>Post-paid promotions…lower levels</t>
  </si>
  <si>
    <t>Prices not being dramatically changed</t>
  </si>
  <si>
    <t>CHP10,000</t>
  </si>
  <si>
    <t xml:space="preserve">13 GB </t>
  </si>
  <si>
    <t>9m promotion</t>
  </si>
  <si>
    <t>Market not responding to more data promotions</t>
  </si>
  <si>
    <t>Tougher market than Chile competition wise</t>
  </si>
  <si>
    <t>Entel was growing significantly</t>
  </si>
  <si>
    <t>through to Q2 2018</t>
  </si>
  <si>
    <t>End 2018, started to reduce growth rates</t>
  </si>
  <si>
    <t>Revenue share target: 25-30%..around 22%</t>
  </si>
  <si>
    <t>1-2pp - revenue share</t>
  </si>
  <si>
    <t>Subsidies are gone…financing plans</t>
  </si>
  <si>
    <t>These are changing…banks and retailers</t>
  </si>
  <si>
    <t>Small price increases in post-paid</t>
  </si>
  <si>
    <t>Not looking for share gains here, looking at recharges</t>
  </si>
  <si>
    <t>small cities, low dense areas</t>
  </si>
  <si>
    <t>approaching Lima</t>
  </si>
  <si>
    <t>don’t have enough spectrum, only 60 MHz</t>
  </si>
  <si>
    <t>Low cost, or low price operator?</t>
  </si>
  <si>
    <t>WOM strategy is low price</t>
  </si>
  <si>
    <t>stores are comparable</t>
  </si>
  <si>
    <t>costs are comparable</t>
  </si>
  <si>
    <t>14-15% share, revs share of 17%</t>
  </si>
  <si>
    <t>revenue share of Bitel is close to 3%</t>
  </si>
  <si>
    <t>Prices higher in Chile when WOM entered…had a decent 3G network</t>
  </si>
  <si>
    <t>Prices are low, don’t have the network</t>
  </si>
  <si>
    <t>Guide on Peru</t>
  </si>
  <si>
    <t>Pre IFRS 16</t>
  </si>
  <si>
    <t xml:space="preserve">Break-even </t>
  </si>
  <si>
    <t>6-8% EBITDA margin</t>
  </si>
  <si>
    <t>10-12% EBITDA margin</t>
  </si>
  <si>
    <t>28% EBITDA margin</t>
  </si>
  <si>
    <t>With MTR 10-12% service revenue growth</t>
  </si>
  <si>
    <t>Focus for Peru shifting slightly from growth to efficiencies</t>
  </si>
  <si>
    <t>6-7% headcount reduction</t>
  </si>
  <si>
    <t>Centralise some functions with Chile and Peru</t>
  </si>
  <si>
    <t>260k FTTH homes passed</t>
  </si>
  <si>
    <t>Looking for potentially 1m homes passed…</t>
  </si>
  <si>
    <t>3m with wireless and fibre. Mix was much more wireless</t>
  </si>
  <si>
    <t>could be 50/50 - maybe in 5 years time</t>
  </si>
  <si>
    <t>some upselling to Entel clients..</t>
  </si>
  <si>
    <t>Movistar + VTR generally where Entel offer</t>
  </si>
  <si>
    <t>VTR - expanding and upgrading</t>
  </si>
  <si>
    <t>Movistar - expanding into fibre</t>
  </si>
  <si>
    <t>used to be good…3 years to now, position has deteriorated</t>
  </si>
  <si>
    <t>supply has not kept up with supply</t>
  </si>
  <si>
    <t>Residential service</t>
  </si>
  <si>
    <t>For money</t>
  </si>
  <si>
    <t>TEF has 80% of share in residential</t>
  </si>
  <si>
    <t>Claro has remaining 20% of market</t>
  </si>
  <si>
    <t>Broadband penetration is very low</t>
  </si>
  <si>
    <t>Wireless</t>
  </si>
  <si>
    <t>Using 2.3GHz band</t>
  </si>
  <si>
    <t>Simply and good service, for mid to low</t>
  </si>
  <si>
    <t>10-15 Mbps service</t>
  </si>
  <si>
    <t>Around 3.5x by YE (3.7x today)</t>
  </si>
  <si>
    <t>2.8x YE 2020</t>
  </si>
  <si>
    <t>2.5x YE 2021</t>
  </si>
  <si>
    <t>Seek to be Investment Grade, not BBB-</t>
  </si>
  <si>
    <t>Issued in Mar 2014</t>
  </si>
  <si>
    <t>Supreme Court decided operators had to give it back in equivalent bands (as they breached the 60 MHz caps)</t>
  </si>
  <si>
    <t>Entel has 30 MHz, TEF and Claro 20 MHz each (2x15, 2x10, 2x10)</t>
  </si>
  <si>
    <t>50 MHz in regions XI and XII - &lt;2% POPs</t>
  </si>
  <si>
    <t>Regional coverage only</t>
  </si>
  <si>
    <t>Generally, around 50%, for wireless fixed service</t>
  </si>
  <si>
    <t>Entel has 900 MHz also, 1.9, 2.6, 3.5 GHz so is fine for the time being</t>
  </si>
  <si>
    <t>Notes:</t>
  </si>
  <si>
    <t>TEF - 50 MHz of 3.5 GHz in 2% POPs only</t>
  </si>
  <si>
    <t>Issued in Mar-14, needs to be handed back (equivalent amount) before Subtel decides what to do</t>
  </si>
  <si>
    <t xml:space="preserve">900 MHz </t>
  </si>
  <si>
    <t xml:space="preserve">TEF has 10 MHz in Lima and Callao, 16 MHz elsewhere </t>
  </si>
  <si>
    <t>1900 MHz</t>
  </si>
  <si>
    <t>3.5 GHZ</t>
  </si>
  <si>
    <t>TEF spectrum restricted to Fixed wireless services</t>
  </si>
  <si>
    <t>TEF in Lima and Callao expires 2030 but elsewhere expires 2018 - request for extension</t>
  </si>
  <si>
    <t>3.5 GHz*</t>
  </si>
  <si>
    <t xml:space="preserve">Claro - 30 MHz released for fixed wireless, 20 MHz remains frozen </t>
  </si>
  <si>
    <t xml:space="preserve">Entel - 50MHz of Entel 3.5 GHz held back by Subtel, 50MHz used for fixed wireless only for </t>
  </si>
  <si>
    <t>2.5-2.7</t>
  </si>
  <si>
    <t>824-829</t>
  </si>
  <si>
    <t>869-894</t>
  </si>
  <si>
    <t>814-824</t>
  </si>
  <si>
    <t>839-849</t>
  </si>
  <si>
    <t>703-748</t>
  </si>
  <si>
    <t>758-803</t>
  </si>
  <si>
    <t>895-915</t>
  </si>
  <si>
    <t>940-960</t>
  </si>
  <si>
    <t>1850-1910</t>
  </si>
  <si>
    <t>1930-1990</t>
  </si>
  <si>
    <t>1710-1755</t>
  </si>
  <si>
    <t>2110-2155</t>
  </si>
  <si>
    <t>AWS  E</t>
  </si>
  <si>
    <t>$ amount raised?</t>
  </si>
  <si>
    <t>Lima / Collao</t>
  </si>
  <si>
    <t>National</t>
  </si>
  <si>
    <t>service</t>
  </si>
  <si>
    <t>Bitel pays $48.43m for 900 MHz spectrum</t>
  </si>
  <si>
    <t>2G</t>
  </si>
  <si>
    <t>2G + 4G</t>
  </si>
  <si>
    <t>2G + 3G</t>
  </si>
  <si>
    <t>Technology split</t>
  </si>
  <si>
    <t>Re-ordering??</t>
  </si>
  <si>
    <t>Bitel is already using 2.5 GHz for 4G outside of Lima and Collao on a temporary basis</t>
  </si>
  <si>
    <t>Bitel committed to spend $110m over 3 years (2018-20)</t>
  </si>
  <si>
    <t>Largest fibre network in Peru (33,000 km)</t>
  </si>
  <si>
    <t>Investment in Peru</t>
  </si>
  <si>
    <t>Q3 19</t>
  </si>
  <si>
    <t>Q3 2019</t>
  </si>
  <si>
    <t>Limited impact from recent social unrest</t>
  </si>
  <si>
    <t>Chile a turning point…despite 2% y/y…</t>
  </si>
  <si>
    <t>this is all to do with 80% MTR</t>
  </si>
  <si>
    <t>Entel Hogar doing well, wireless/fibre</t>
  </si>
  <si>
    <t>Focus on post paid in both markets</t>
  </si>
  <si>
    <t>Pre-paid decline…consequence of high-end focus</t>
  </si>
  <si>
    <t>And share of charges</t>
  </si>
  <si>
    <t>37% in Chile, 16% in Peru</t>
  </si>
  <si>
    <t>Full transition to new plans by September</t>
  </si>
  <si>
    <t>All on digital platforms</t>
  </si>
  <si>
    <t>Hope to grow Chile mobile going forward</t>
  </si>
  <si>
    <t>Add price certain cases, SOL1/2/3</t>
  </si>
  <si>
    <t>Promotions ongoing… but unchanged over last year or so</t>
  </si>
  <si>
    <t>More stable environment</t>
  </si>
  <si>
    <t>Changed sales model in pre-paid</t>
  </si>
  <si>
    <t>Q1 19 changed - incentives, commissions in relation to the re-charge but not based on only a new client</t>
  </si>
  <si>
    <t>LT objective is to get to 25-30%...at 23% today, so getting close to this target</t>
  </si>
  <si>
    <t>Not so much reason to go as fast as before</t>
  </si>
  <si>
    <t>Putting less pressure on the market</t>
  </si>
  <si>
    <t>Growing ~1.5pp of market share today/year</t>
  </si>
  <si>
    <t>EBITDA margins will then follow</t>
  </si>
  <si>
    <t>$1.5bn is being impacted by FX…this is impacting earnings</t>
  </si>
  <si>
    <t>Sale of towers in Chile and Peru</t>
  </si>
  <si>
    <t>Expect to conclude</t>
  </si>
  <si>
    <t>Total GB, TB</t>
  </si>
  <si>
    <t>Post Q3 2019</t>
  </si>
  <si>
    <t>Pensions are very low - this is the key issue</t>
  </si>
  <si>
    <t>10% of income is max can put into a pension</t>
  </si>
  <si>
    <t>Min wage $5000/annum, trying to increase it</t>
  </si>
  <si>
    <t>Generally, positive in Chile</t>
  </si>
  <si>
    <t>Investors</t>
  </si>
  <si>
    <t>market more stabilised</t>
  </si>
  <si>
    <t>No impact from social troubles by close of Q3</t>
  </si>
  <si>
    <t>as we saw in Chile</t>
  </si>
  <si>
    <t>expected higher EBITDA, not so much</t>
  </si>
  <si>
    <t>Not disruptive promotions, WOM was more aggressive</t>
  </si>
  <si>
    <t>Was losing 4G network</t>
  </si>
  <si>
    <t>2017 - very aggressive offers from Entel…September 2017</t>
  </si>
  <si>
    <t>Entry plans</t>
  </si>
  <si>
    <t>Ps10000 for 3G, since Feb-19. Hasn’t changed</t>
  </si>
  <si>
    <t>Still have a 10-15% premium on ARPU</t>
  </si>
  <si>
    <t>Use - 9-10 GB/post-paid</t>
  </si>
  <si>
    <t>CLP/min</t>
  </si>
  <si>
    <t>Total ex-VTR</t>
  </si>
  <si>
    <t>Not assigned/other</t>
  </si>
  <si>
    <t>1755-1780</t>
  </si>
  <si>
    <t>2155-2180</t>
  </si>
  <si>
    <t>Cash burn in Peru</t>
  </si>
  <si>
    <t>Total cash drain</t>
  </si>
  <si>
    <t>Nextel acquisition cost</t>
  </si>
  <si>
    <t>40 MHz of AWS MHz spectrum</t>
  </si>
  <si>
    <t>30 MHz of 700 MHz  spectrum</t>
  </si>
  <si>
    <t>SHOUT</t>
  </si>
  <si>
    <t>Group OPFCF</t>
  </si>
  <si>
    <t xml:space="preserve"> 32/26</t>
  </si>
  <si>
    <t>8 MHz used by private fixed operators</t>
  </si>
  <si>
    <t>estimate, from Olo de Peru, TVS Wireless acquisition in 2016</t>
  </si>
  <si>
    <t>0/40</t>
  </si>
  <si>
    <t>25/25</t>
  </si>
  <si>
    <t>57/91</t>
  </si>
  <si>
    <t>Bitel (Lima&amp;Callao/ Rest of Peru)</t>
  </si>
  <si>
    <t>Chilean margins</t>
  </si>
  <si>
    <t>CLP bn</t>
  </si>
  <si>
    <t>Adds</t>
  </si>
  <si>
    <t>Total revenue</t>
  </si>
  <si>
    <t>adds</t>
  </si>
  <si>
    <t>Post-pay</t>
  </si>
  <si>
    <t>Peru revenue</t>
  </si>
  <si>
    <t>Chile, CLP m</t>
  </si>
  <si>
    <t>Peru, CLP m</t>
  </si>
  <si>
    <t>SOL/USD</t>
  </si>
  <si>
    <t>CLP/USD</t>
  </si>
  <si>
    <t>Q4 19</t>
  </si>
  <si>
    <t>Entel Peru</t>
  </si>
  <si>
    <t>Lease adjs</t>
  </si>
  <si>
    <t>One-offs</t>
  </si>
  <si>
    <t>Rep EBITDA, IFRS 16</t>
  </si>
  <si>
    <t>Clean EBITDA, IFRS 16</t>
  </si>
  <si>
    <t>Chile (inc wholesale)</t>
  </si>
  <si>
    <t>Other (call centre, other)</t>
  </si>
  <si>
    <t>Clean EBITDA, pre-IFRS 16</t>
  </si>
  <si>
    <t>Total (clean)</t>
  </si>
  <si>
    <t>Total (rep)</t>
  </si>
  <si>
    <t>Clean EBITDA margin, IFRS 16</t>
  </si>
  <si>
    <t>Clean EBITDA margin, pre-IFRS 16</t>
  </si>
  <si>
    <t>Revenue, CLP m</t>
  </si>
  <si>
    <t>Rep EBITDA</t>
  </si>
  <si>
    <t>Clean EBITDA</t>
  </si>
  <si>
    <t>One-off</t>
  </si>
  <si>
    <t xml:space="preserve"> change</t>
  </si>
  <si>
    <t>as % service</t>
  </si>
  <si>
    <t>Pre-IFRS 16 EBITDA</t>
  </si>
  <si>
    <t>Lease</t>
  </si>
  <si>
    <t>Peru (Wireless, Americatel, Direcnet)</t>
  </si>
  <si>
    <t>Capex, USD m</t>
  </si>
  <si>
    <t>Cash Capex, CLP m</t>
  </si>
  <si>
    <t>Implied other</t>
  </si>
  <si>
    <t xml:space="preserve">Chile </t>
  </si>
  <si>
    <t>Group cash</t>
  </si>
  <si>
    <t>Net debt (IFRS 16)</t>
  </si>
  <si>
    <t>Cash in from sale</t>
  </si>
  <si>
    <t>Lease debt</t>
  </si>
  <si>
    <t>Post Q4 2019</t>
  </si>
  <si>
    <t>Cash cost in 2020 and going forward?</t>
  </si>
  <si>
    <t>Cash in</t>
  </si>
  <si>
    <t>Additional lease to be added</t>
  </si>
  <si>
    <t>Guide</t>
  </si>
  <si>
    <t>In CLP</t>
  </si>
  <si>
    <t>% revs</t>
  </si>
  <si>
    <t>SOL/CLP</t>
  </si>
  <si>
    <t>Peru, USD m (fixed/mobile)</t>
  </si>
  <si>
    <t>Further MTR pressure from Jan-20?</t>
  </si>
  <si>
    <t>Revenue (incs interco)</t>
  </si>
  <si>
    <t>page 4 release</t>
  </si>
  <si>
    <t xml:space="preserve">Chile fixed </t>
  </si>
  <si>
    <t>Chile (from highlights table), inc interco</t>
  </si>
  <si>
    <t>Other / interco</t>
  </si>
  <si>
    <t>Data</t>
  </si>
  <si>
    <t>Traffic</t>
  </si>
  <si>
    <t>Capex, CLP m</t>
  </si>
  <si>
    <t>OpFCF, CLP m</t>
  </si>
  <si>
    <t>IFRS 16 onwards</t>
  </si>
  <si>
    <t>Gain on towers paid out in divi?</t>
  </si>
  <si>
    <t>Interest inc IFRS</t>
  </si>
  <si>
    <t>Interest ex IFRS</t>
  </si>
  <si>
    <t>Lease costs in interest</t>
  </si>
  <si>
    <t>Still comfortable with margin assumptions in Peru?</t>
  </si>
  <si>
    <t>D&amp;A inc IFRS</t>
  </si>
  <si>
    <t>D&amp;A ex IFRS</t>
  </si>
  <si>
    <t>Lease costs in D&amp;A</t>
  </si>
  <si>
    <t xml:space="preserve"> of which lease cost change</t>
  </si>
  <si>
    <t>Valuation adjs</t>
  </si>
  <si>
    <t>Rep debt to EBITDA (pre-IFRS 16)</t>
  </si>
  <si>
    <t>IFRS 16 shift</t>
  </si>
  <si>
    <t>CLP/share "upside"</t>
  </si>
  <si>
    <t>de-leverage</t>
  </si>
  <si>
    <t>ex-towers deal (organic)</t>
  </si>
  <si>
    <t>Net debt move in Q4</t>
  </si>
  <si>
    <t>Working capital to unwind in Q1?</t>
  </si>
  <si>
    <t>Less lease costs in D&amp;A</t>
  </si>
  <si>
    <t>Check net debt</t>
  </si>
  <si>
    <t>From balance sheet :</t>
  </si>
  <si>
    <t>Implied hedge value</t>
  </si>
  <si>
    <t>CLP WACC</t>
  </si>
  <si>
    <t>EV (CLP)</t>
  </si>
  <si>
    <t>Taxed FCF</t>
  </si>
  <si>
    <t>SOL WACC</t>
  </si>
  <si>
    <t>Tax losses - assume Peru</t>
  </si>
  <si>
    <t>How much debt in Peru?</t>
  </si>
  <si>
    <t>Taxable profit offset</t>
  </si>
  <si>
    <t>Profit for tax purposes</t>
  </si>
  <si>
    <t>USD m</t>
  </si>
  <si>
    <t>Shift to IFRS 16</t>
  </si>
  <si>
    <t>Lease liability</t>
  </si>
  <si>
    <t>Gained EBITDA 2019</t>
  </si>
  <si>
    <t>Lease liability, Q1 19</t>
  </si>
  <si>
    <t>Tower sale</t>
  </si>
  <si>
    <t>Market multiple</t>
  </si>
  <si>
    <t>Gain</t>
  </si>
  <si>
    <t>After tax</t>
  </si>
  <si>
    <t>NPV of FCF</t>
  </si>
  <si>
    <t>Term value</t>
  </si>
  <si>
    <t>PV of term value</t>
  </si>
  <si>
    <t>PV of leases</t>
  </si>
  <si>
    <t>Extra to be added in</t>
  </si>
  <si>
    <t>Lease cost into perpetuiyy</t>
  </si>
  <si>
    <t>Towers sale</t>
  </si>
  <si>
    <t>Gain on balance sheet</t>
  </si>
  <si>
    <t>Implied new tower rental cash</t>
  </si>
  <si>
    <t>Inflation</t>
  </si>
  <si>
    <t>Implied EV/EBITDA</t>
  </si>
  <si>
    <t>Theoretical tower lease liability</t>
  </si>
  <si>
    <t>Additional liability for valuation</t>
  </si>
  <si>
    <t>FCF (to match rep lease liability)</t>
  </si>
  <si>
    <t>Net debt IFRS 16</t>
  </si>
  <si>
    <t>Leases on BS</t>
  </si>
  <si>
    <t>Cash lease cost</t>
  </si>
  <si>
    <t>When did Tower deal close?</t>
  </si>
  <si>
    <t>What's left?</t>
  </si>
  <si>
    <t xml:space="preserve">OpFCF </t>
  </si>
  <si>
    <t>Implied leases multiple</t>
  </si>
  <si>
    <t>Clean EBITDA pre-IFRS 16</t>
  </si>
  <si>
    <t>Chile DCF (pre-IFRS16)</t>
  </si>
  <si>
    <t>Peru DCF (pre-IFRS 16)</t>
  </si>
  <si>
    <t>Capex, CLP</t>
  </si>
  <si>
    <t>OpFCF pre-IFRS 16</t>
  </si>
  <si>
    <t>Net debt pre-IFRS16</t>
  </si>
  <si>
    <t>Net debt IFRS16</t>
  </si>
  <si>
    <t>Net debt pre IFRS16</t>
  </si>
  <si>
    <t>Leases</t>
  </si>
  <si>
    <t>Chile margin, IFRS 16</t>
  </si>
  <si>
    <t>OpFCF, pre-IFRS 16</t>
  </si>
  <si>
    <t>to match Entel</t>
  </si>
  <si>
    <t>Latest on spectrum</t>
  </si>
  <si>
    <t>belongs to</t>
  </si>
  <si>
    <t>new</t>
  </si>
  <si>
    <t>small regional</t>
  </si>
  <si>
    <t>Total auction</t>
  </si>
  <si>
    <t>Buyer?</t>
  </si>
  <si>
    <t>Q4 2020</t>
  </si>
  <si>
    <t>Timing?</t>
  </si>
  <si>
    <t>700 MHz "hand back"</t>
  </si>
  <si>
    <t>Assigned</t>
  </si>
  <si>
    <t>Extenion</t>
  </si>
  <si>
    <t>2.3 GHz</t>
  </si>
  <si>
    <t>AWS-E</t>
  </si>
  <si>
    <t>Any interest in AWS-E?</t>
  </si>
  <si>
    <t>What's happening with 2.5 GHz 3.5 GHz in Peru?</t>
  </si>
  <si>
    <t>re-ordering…implications for Entel</t>
  </si>
  <si>
    <t>used by Americatel today</t>
  </si>
  <si>
    <t>2.3 GHz used by Home wireless</t>
  </si>
  <si>
    <t xml:space="preserve">3.5GHz </t>
  </si>
  <si>
    <t>Government  proceeds of $300m in total?</t>
  </si>
  <si>
    <t>Continues to be stable</t>
  </si>
  <si>
    <t>WOM has been rational…still want to gain share</t>
  </si>
  <si>
    <t>Need to be careful with promotions cannibalising existing base</t>
  </si>
  <si>
    <t>Focusing on subs getting handsets with financing plans</t>
  </si>
  <si>
    <t>important to promote the sale of handsets</t>
  </si>
  <si>
    <t>Entel still sell handsets…have agreements with credit cards, banks who fund</t>
  </si>
  <si>
    <t>Previously, focused on SIM only. Now handsets</t>
  </si>
  <si>
    <t>helps differentiate the offer</t>
  </si>
  <si>
    <t>Declines in equipment revenue in Q4</t>
  </si>
  <si>
    <t>Not the same level of commercial activity given social unrest</t>
  </si>
  <si>
    <t>Economic environment in Chile a little worse</t>
  </si>
  <si>
    <t>Why wireless revenue worse in Q4?</t>
  </si>
  <si>
    <t>May spill into Q1 and Q2</t>
  </si>
  <si>
    <t>Mobile in 2020?</t>
  </si>
  <si>
    <t>Wireless to be stable</t>
  </si>
  <si>
    <t>Overage</t>
  </si>
  <si>
    <t>Revenue in 2019 about CHP10bn, CHP22bn in 2018…less impact going forward</t>
  </si>
  <si>
    <t>Termination rate in Q1 20?</t>
  </si>
  <si>
    <t>No cut in 2020</t>
  </si>
  <si>
    <t>5 years</t>
  </si>
  <si>
    <t>CHP&lt;1 / min</t>
  </si>
  <si>
    <t>CHP40bn cut in 2019</t>
  </si>
  <si>
    <t>CHP14bn in post-paid, CHP6bn in pre-paid</t>
  </si>
  <si>
    <t>Movistar looking to exit</t>
  </si>
  <si>
    <t>More emphasis on fibre</t>
  </si>
  <si>
    <t>Losing share on mobile…lost to WOM</t>
  </si>
  <si>
    <t>Always been rational</t>
  </si>
  <si>
    <t>Peru competition</t>
  </si>
  <si>
    <t>Seeing signs of stabilisation</t>
  </si>
  <si>
    <t>Subsidies going out of the market</t>
  </si>
  <si>
    <t>Claro was the last to reduce subsidies</t>
  </si>
  <si>
    <t>Plans include roaming (US, LatAm), some OTT</t>
  </si>
  <si>
    <t>Pushed by Claro</t>
  </si>
  <si>
    <t>High value - some unlimited plans with fair use…last quarter of 2019…introduced by Vitel in low tier plans</t>
  </si>
  <si>
    <t>Promotions not disruptive</t>
  </si>
  <si>
    <t>EBITDA break-even for FY 19</t>
  </si>
  <si>
    <t>12-14%</t>
  </si>
  <si>
    <t>IFRS16</t>
  </si>
  <si>
    <t>12% growth</t>
  </si>
  <si>
    <t>$875m</t>
  </si>
  <si>
    <t>1st tranche</t>
  </si>
  <si>
    <t>proceeds CHP410bn</t>
  </si>
  <si>
    <t>2nd tranche</t>
  </si>
  <si>
    <t>net profit CHP195bn</t>
  </si>
  <si>
    <t>Chile lease cost per annum</t>
  </si>
  <si>
    <t>Cost about the same</t>
  </si>
  <si>
    <t>Second tranche of the deal..following 18 months, maybe different tranches</t>
  </si>
  <si>
    <t>LT</t>
  </si>
  <si>
    <t>30-31%</t>
  </si>
  <si>
    <t>2nd phase of re-farming/re-ordering in Peru</t>
  </si>
  <si>
    <t>Entel has 100 MHz of 3.5 GHz</t>
  </si>
  <si>
    <t>Rest not assigned</t>
  </si>
  <si>
    <t>May lose, but gain efficiency</t>
  </si>
  <si>
    <t>Auction</t>
  </si>
  <si>
    <t>AWS can be auctioned but not before re-farming</t>
  </si>
  <si>
    <t>8 months to re-order</t>
  </si>
  <si>
    <t>So could be done by Sept/Oct</t>
  </si>
  <si>
    <t>Q4 auction</t>
  </si>
  <si>
    <t>Entel to participate in the auction…? Will depend</t>
  </si>
  <si>
    <t>Likely to be caps on spectrum though</t>
  </si>
  <si>
    <t>Some advances in National Spectrum policy</t>
  </si>
  <si>
    <t>Maybe</t>
  </si>
  <si>
    <t>in YE debt</t>
  </si>
  <si>
    <t>still to come</t>
  </si>
  <si>
    <t>Lease cost - CHP667,000 / tower / month</t>
  </si>
  <si>
    <t>OLD</t>
  </si>
  <si>
    <t>Q1 20</t>
  </si>
  <si>
    <t>today</t>
  </si>
  <si>
    <t>50 with reg, 50 for fixed wireless</t>
  </si>
  <si>
    <t>25 with reg, 25 for fixed wireless</t>
  </si>
  <si>
    <t>Keeps 80 MHz</t>
  </si>
  <si>
    <t>Keeps 30 MHz</t>
  </si>
  <si>
    <t>EV IFRS 16</t>
  </si>
  <si>
    <t>Adjusted EBITDA (pre IFRS 16)</t>
  </si>
  <si>
    <t>EV/EBITDA pre-IFRS 16</t>
  </si>
  <si>
    <t>EV/EBITDA post-IFRS 16</t>
  </si>
  <si>
    <t>In USD</t>
  </si>
  <si>
    <t>Cost / tower</t>
  </si>
  <si>
    <t>Lease per tower/m</t>
  </si>
  <si>
    <t>Lease per tower, USD/m</t>
  </si>
  <si>
    <t>EV/EBITDA</t>
  </si>
  <si>
    <t>Total, $ bn</t>
  </si>
  <si>
    <t>Total cash</t>
  </si>
  <si>
    <t>as % sale</t>
  </si>
  <si>
    <t>Multiple over op co</t>
  </si>
  <si>
    <t>Upside</t>
  </si>
  <si>
    <t>Shares</t>
  </si>
  <si>
    <t>Per share</t>
  </si>
  <si>
    <t>Q2 20</t>
  </si>
  <si>
    <t>AWS -E</t>
  </si>
  <si>
    <t>Spectrum update</t>
  </si>
  <si>
    <t>20 from Entel, 20 from AMX</t>
  </si>
  <si>
    <t>from VTR or extension band?</t>
  </si>
  <si>
    <t>Bands</t>
  </si>
  <si>
    <t>703-713</t>
  </si>
  <si>
    <t>758-768</t>
  </si>
  <si>
    <t>25.9-27.5</t>
  </si>
  <si>
    <t>1.755-1.770</t>
  </si>
  <si>
    <t>2.155-2.170</t>
  </si>
  <si>
    <t>3600-3650</t>
  </si>
  <si>
    <t>3300-3400</t>
  </si>
  <si>
    <t>How much spectrum are you giving up?</t>
  </si>
  <si>
    <t>What are your broad thoughts on which bands are interesting?</t>
  </si>
  <si>
    <t>Do you still need to give up spectrum under the new caps?</t>
  </si>
  <si>
    <t>Net debt (IAS 17)</t>
  </si>
  <si>
    <t>Net debt to clean EBITDA (IAS 17)</t>
  </si>
  <si>
    <t>Net debt to clean EBITDA (IFRS 16)</t>
  </si>
  <si>
    <t>% of whole spectrum instead of absolute caps</t>
  </si>
  <si>
    <t>Already have a good spectrum position</t>
  </si>
  <si>
    <t>Only spectrum which lack is 24 GB, 4x400 MHz</t>
  </si>
  <si>
    <t>Nothing to return</t>
  </si>
  <si>
    <t>Resilient mobile</t>
  </si>
  <si>
    <t>Data doing well, 4G evolution good</t>
  </si>
  <si>
    <t>Call script</t>
  </si>
  <si>
    <t>How to cope with non disconnect</t>
  </si>
  <si>
    <t>Share of pre-paid holding up well (38%)</t>
  </si>
  <si>
    <t>Feedback is very positive</t>
  </si>
  <si>
    <t>Who are you winning subs from TEF or VTR?</t>
  </si>
  <si>
    <t>100,000 RGUs on Entel Hogar Fibra by Q2</t>
  </si>
  <si>
    <t>Spike in new FTTH, expect 0.5m homes passed in selective residential areas by YE</t>
  </si>
  <si>
    <t>Expectations in for subs…what penetration of HPs will be?</t>
  </si>
  <si>
    <t>FTTH in Chile</t>
  </si>
  <si>
    <t>Seeing from Claro and TEF</t>
  </si>
  <si>
    <t>Peru spectrum</t>
  </si>
  <si>
    <t>Tough lockdowns</t>
  </si>
  <si>
    <t>Post-paid ok</t>
  </si>
  <si>
    <t>Pre-paid - still grew recharges y/y and q/q. Less focus on subs (which declined)</t>
  </si>
  <si>
    <t>Reduced speed to 250 kbps</t>
  </si>
  <si>
    <t>Offer SOL20 for limited details</t>
  </si>
  <si>
    <t>Helped people come to pay and move back to normal plan</t>
  </si>
  <si>
    <t>But for those who couldn't, deferred payments for missing amount</t>
  </si>
  <si>
    <t xml:space="preserve">This helped </t>
  </si>
  <si>
    <t>There will be deliquencies</t>
  </si>
  <si>
    <t>60% of bad debt provisioned..for this amount to be collected over 12 months</t>
  </si>
  <si>
    <t>Declined. Post-paid driven…moved to lower ARPU plans</t>
  </si>
  <si>
    <t>Pre-paid - ARPU is growing, recharge/client is increasing. As quality is better</t>
  </si>
  <si>
    <t>330,000 HPs today</t>
  </si>
  <si>
    <t>SOL60m</t>
  </si>
  <si>
    <t>USD4.5m charge</t>
  </si>
  <si>
    <t>EBITDA going forward</t>
  </si>
  <si>
    <t>Confident of continue growth</t>
  </si>
  <si>
    <t>Question marks on economy</t>
  </si>
  <si>
    <t>Initially, 440k new homes passed</t>
  </si>
  <si>
    <t>Had to cut back to nearer 240k new HPs</t>
  </si>
  <si>
    <t>End of year: 550k by YE</t>
  </si>
  <si>
    <t>2-3 years - 0.5m per year</t>
  </si>
  <si>
    <t>May rent some fibre from players</t>
  </si>
  <si>
    <t>Invest alongside TEF?</t>
  </si>
  <si>
    <t>Need to see, things are starting to move</t>
  </si>
  <si>
    <t>Open to alternatives to increase speed of deployment</t>
  </si>
  <si>
    <t>Want to cover huge amount of homes in important manner</t>
  </si>
  <si>
    <t>July</t>
  </si>
  <si>
    <t>Coming back to a normal situation..for those who normally pay their bills</t>
  </si>
  <si>
    <t>Second part of bill will be back in August…for higher invoice. Normal invoice in July is being paif well</t>
  </si>
  <si>
    <t>No more information from Peru spectrum</t>
  </si>
  <si>
    <t>No clues</t>
  </si>
  <si>
    <t>Digitalisation of payments</t>
  </si>
  <si>
    <t>55-60% of clients are paying on-line; less than 50% one year ago</t>
  </si>
  <si>
    <t>Q3 20</t>
  </si>
  <si>
    <t>Rep debt to EBITDA (mismatch leases in EBITDA/debt - as reported)</t>
  </si>
  <si>
    <t>Service revenue trends</t>
  </si>
  <si>
    <t>Claro wireless</t>
  </si>
  <si>
    <t>Entel consumer mobile</t>
  </si>
  <si>
    <t>Entel consumer fixed</t>
  </si>
  <si>
    <t>Claro fixed</t>
  </si>
  <si>
    <t>Entel corp mobile</t>
  </si>
  <si>
    <t>Entel corp fixed</t>
  </si>
  <si>
    <t>TEF Chile (fixed + mobile)</t>
  </si>
  <si>
    <t>Claro Chile (fixed + mobile)</t>
  </si>
  <si>
    <t>1st tranche (2019)</t>
  </si>
  <si>
    <t>Cumulative</t>
  </si>
  <si>
    <t>Lease cost</t>
  </si>
  <si>
    <t>lease</t>
  </si>
  <si>
    <t>OpFCF margin (inc leases)</t>
  </si>
  <si>
    <t>AWS (1.7-2.1)</t>
  </si>
  <si>
    <t>3.3-3.6</t>
  </si>
  <si>
    <t>Chile mobile service revs</t>
  </si>
  <si>
    <t xml:space="preserve">Paid </t>
  </si>
  <si>
    <t>EBITDA losses (IAS 17)</t>
  </si>
  <si>
    <t>Cumulative cash burn</t>
  </si>
  <si>
    <t>Q4 20</t>
  </si>
  <si>
    <t xml:space="preserve">Vaccines starting in Chile, Peru slightly </t>
  </si>
  <si>
    <t>Lockdowns - Summer time. Dynamic lockdown by state. Eased from Sept to 3rd week of December, preparing for Christmas and NY eve</t>
  </si>
  <si>
    <t>Transmission, infection rates getting better</t>
  </si>
  <si>
    <t>Santiago - centre, yes restaurants with some limitations..but it varies</t>
  </si>
  <si>
    <t>Masks on the streets…have to wear them, people quite compliant</t>
  </si>
  <si>
    <t>1st lockdown was everywhere, no deliveries - v extreme</t>
  </si>
  <si>
    <t>Since June 2020, started to open up</t>
  </si>
  <si>
    <t>Transmission curve is very high</t>
  </si>
  <si>
    <t>Feb - new restrictions, more like Chile, by region</t>
  </si>
  <si>
    <t>Informal economy is very high, 60-70%, so not being adhered to as much</t>
  </si>
  <si>
    <t>Public health centres work together with private</t>
  </si>
  <si>
    <t>Mostly private healthcare</t>
  </si>
  <si>
    <t>Operationals</t>
  </si>
  <si>
    <t>Less price focused, better access/service</t>
  </si>
  <si>
    <t>Very strong post-paid growth, some seasonlity…educational and government initiatives</t>
  </si>
  <si>
    <t>In part due to pandemic, perhaps, connectivity is key</t>
  </si>
  <si>
    <t>Requiring some access for students, might drop off, SIM only plans</t>
  </si>
  <si>
    <t>Rural areas in the South…kids take 2 hours to go to school. New view on education in rural areas</t>
  </si>
  <si>
    <t>To go to middle school, need to leave home at age of 12. move to bigger cities</t>
  </si>
  <si>
    <t>Teaching unions are strong, so may be opposed to new initiatives</t>
  </si>
  <si>
    <t>Movistar - Chile and Peru. A little more aggressive at YE as had been losing subs. Some YE promotions</t>
  </si>
  <si>
    <t>These promos had more of an impact on WOM</t>
  </si>
  <si>
    <t>Claro - very tactical, not so much traction at the moment</t>
  </si>
  <si>
    <t>pre-paid re-charge share…still growing</t>
  </si>
  <si>
    <t>~40% of base generates revenue</t>
  </si>
  <si>
    <t>post-paid subs +17% y/y</t>
  </si>
  <si>
    <t>some migration from pre- to post, despite some economnic weakness</t>
  </si>
  <si>
    <t>WOM - need to invest now</t>
  </si>
  <si>
    <t>4 process - 26 GHz resolved, each got 1 block of 400 MHz</t>
  </si>
  <si>
    <t>700 MHz - all tied, go to an economic bid process: Claro, Borealnet and WOM; Claro has 20 MHz, WOM has zero; 8 Feb</t>
  </si>
  <si>
    <t>AWS - 30 MHz, Claro, WOM and Borealnet. Tied also, Feb 11th - economic bid</t>
  </si>
  <si>
    <t>3.5 GHz - 15 blocks of 10 MHz, all tied; Entel, Claro, Movistar, Borealnet, WOM; need a minimum of 4x 10MHz continuous, someone will miss out; economic bid on 16 Feb</t>
  </si>
  <si>
    <t>Economic bids</t>
  </si>
  <si>
    <t>700 MHz in 2013 - Econ bid was ~USD50/60m</t>
  </si>
  <si>
    <t>2.6 GHz in 2012 - Econ bid was &gt;USD10m for 40 MHz</t>
  </si>
  <si>
    <t>Some issues for Entel using existing spectrum (80 MHz). TEF has been trying to block everything</t>
  </si>
  <si>
    <t>Delaying tactics as TEF don’t want to invest</t>
  </si>
  <si>
    <t>Harder to sell without 3.5 GHz spectrum</t>
  </si>
  <si>
    <t>Capex talked about (+20%) capex up in case of mandatory obligations</t>
  </si>
  <si>
    <t>26 GHz obligations are USD30 millions</t>
  </si>
  <si>
    <t>3.5 GHz total obligation is USD100m in total, very onerous obligations</t>
  </si>
  <si>
    <t>Min of 94 points in the bidding process</t>
  </si>
  <si>
    <t>CHILE</t>
  </si>
  <si>
    <t>PERU</t>
  </si>
  <si>
    <t>Movistar was v aggressive at YE, in terms of subsidies</t>
  </si>
  <si>
    <t>Entel had v good post-paid sub by ~20%, with 350k net adds - good service, experience</t>
  </si>
  <si>
    <t>Claro is the market leader today…had a good Q but less aggressive</t>
  </si>
  <si>
    <t>Difference in Peru - cannot cut services who didn’t pay bills…moved them from paid plans (SOL40 or higher) with less services (SOL20), starting Apr-20</t>
  </si>
  <si>
    <t>Customers realised they needed to return to plan, needed to refinance your bills which were unpaid</t>
  </si>
  <si>
    <t>USD 1bn revenue company</t>
  </si>
  <si>
    <t>FY 20 is USD825 million. Reach in 2021, so step up in growth through higher subs: 10-12% subs growth, ARPU stable/up slightly, plus handset growth to be huge</t>
  </si>
  <si>
    <t>So some dilution to EBITDA margins</t>
  </si>
  <si>
    <t>Handsets - in Q4 made "important" margin, gross of 15%. For the year was ~11%, 4% in 2019</t>
  </si>
  <si>
    <t>LT margin 28-29% in 2023 (IFRS 16)…2-3pp increase in 2021</t>
  </si>
  <si>
    <t>ex-towers, margin of ~14%, nearer 16-17%</t>
  </si>
  <si>
    <t>2021 is still a year with a lot of question marks in Peru, due to Covid</t>
  </si>
  <si>
    <t>FINANCIALS</t>
  </si>
  <si>
    <t>M&amp;A</t>
  </si>
  <si>
    <t>WOM is the only which can buy Movistar</t>
  </si>
  <si>
    <t>Cannot be VTR</t>
  </si>
  <si>
    <t>Some rumours things will be finalised</t>
  </si>
  <si>
    <t>Dividend - 30% minimum and up to 50%</t>
  </si>
  <si>
    <t>Annouced around Mar/Apr</t>
  </si>
  <si>
    <t>Assumed handset margin</t>
  </si>
  <si>
    <t>Implied service revs margin</t>
  </si>
  <si>
    <t>EBITDA on handsets</t>
  </si>
  <si>
    <t>EBITDA on services</t>
  </si>
  <si>
    <t>Feb 2021 changes</t>
  </si>
  <si>
    <t>Borealnet?</t>
  </si>
  <si>
    <t>26 GHz</t>
  </si>
  <si>
    <t>3.3-3.4</t>
  </si>
  <si>
    <t>3.6-3.65</t>
  </si>
  <si>
    <t>3.4-3.6</t>
  </si>
  <si>
    <t>VTR (LiLAC)</t>
  </si>
  <si>
    <t>Total (ex-other)</t>
  </si>
  <si>
    <t xml:space="preserve"> of which service</t>
  </si>
  <si>
    <t xml:space="preserve"> of which equipment</t>
  </si>
  <si>
    <t>Debt/EBITDA (IAS 17)</t>
  </si>
  <si>
    <t>Debt/EBITDA (IFRS 16)</t>
  </si>
  <si>
    <t>pre-issued</t>
  </si>
  <si>
    <t>Less 3.5GHz</t>
  </si>
  <si>
    <t>Spectrum/other</t>
  </si>
  <si>
    <t>Plus: Net debt  (IAS 17)</t>
  </si>
  <si>
    <t>FX (historic)</t>
  </si>
  <si>
    <t>Q1 21</t>
  </si>
  <si>
    <t>Entel mobile service</t>
  </si>
  <si>
    <t xml:space="preserve">Entel corp </t>
  </si>
  <si>
    <t>Q2 21</t>
  </si>
  <si>
    <t>&gt;0%</t>
  </si>
  <si>
    <t>EBITDA margin on service revenue</t>
  </si>
  <si>
    <t>Remaining</t>
  </si>
  <si>
    <t>NEW (Feb 21)</t>
  </si>
  <si>
    <t>NEW (Aug 21)</t>
  </si>
  <si>
    <t>Fibre RGUs</t>
  </si>
  <si>
    <t>Fibre and OTT TV</t>
  </si>
  <si>
    <t>FTTH ~700,000 by YE</t>
  </si>
  <si>
    <t>Discussions with KKR</t>
  </si>
  <si>
    <t>Soomit Datta</t>
  </si>
  <si>
    <t>New Street Research</t>
  </si>
  <si>
    <t xml:space="preserve">+44 20 7375 9128 </t>
  </si>
  <si>
    <t>soomit@newstreetresearch.com</t>
  </si>
  <si>
    <t>Ticker</t>
  </si>
  <si>
    <t>Rating</t>
  </si>
  <si>
    <t>Target Price</t>
  </si>
  <si>
    <t>Entel Chile (ENTEL CI)</t>
  </si>
  <si>
    <t>ENTEL</t>
  </si>
  <si>
    <t>Total, USD</t>
  </si>
  <si>
    <t>CLP million</t>
  </si>
  <si>
    <t>Q3 21</t>
  </si>
  <si>
    <t>Q4 21</t>
  </si>
  <si>
    <t>Chile Other</t>
  </si>
  <si>
    <t>Q1 22</t>
  </si>
  <si>
    <t>Q4 22</t>
  </si>
  <si>
    <t>Q3 22</t>
  </si>
  <si>
    <t>Q2 22</t>
  </si>
  <si>
    <t>Add 2022</t>
  </si>
  <si>
    <t>Lines 8 to 10 in new ints</t>
  </si>
  <si>
    <t>President from the left, v young</t>
  </si>
  <si>
    <t>Writing the Constitution</t>
  </si>
  <si>
    <t>Telcos not on the agenda</t>
  </si>
  <si>
    <t>Access to conectivity BUT by state, not companies</t>
  </si>
  <si>
    <t>Mobile doing quite well in Chile</t>
  </si>
  <si>
    <t>Residential going faster on fibre or leasing</t>
  </si>
  <si>
    <t>different options</t>
  </si>
  <si>
    <t>Data centres</t>
  </si>
  <si>
    <t>rest are very small</t>
  </si>
  <si>
    <t>8000 metres</t>
  </si>
  <si>
    <t>Some buildings in construction also</t>
  </si>
  <si>
    <t>EBITDA of leasing</t>
  </si>
  <si>
    <t>USD16 m</t>
  </si>
  <si>
    <t>cost of leasing</t>
  </si>
  <si>
    <t>Will lose come clients</t>
  </si>
  <si>
    <t>USD16m</t>
  </si>
  <si>
    <t>10 year min lease</t>
  </si>
  <si>
    <t>Not a financial lease</t>
  </si>
  <si>
    <t>EBITDA usd</t>
  </si>
  <si>
    <t>EBITDA clp</t>
  </si>
  <si>
    <t>Impact</t>
  </si>
  <si>
    <t>Net debt, IFRS 16 (USD)</t>
  </si>
  <si>
    <t>Net debt, IFRS 16 (USD) - after sale</t>
  </si>
  <si>
    <t>2021 EBITDA, CLP</t>
  </si>
  <si>
    <t>2021 EBITDA, USD</t>
  </si>
  <si>
    <t>loss to revenue</t>
  </si>
  <si>
    <t>higher costs</t>
  </si>
  <si>
    <t>USD EBITDA impact</t>
  </si>
  <si>
    <t>Data centres, 24 months, Macquarie, Patria</t>
  </si>
  <si>
    <t>Chile deal close</t>
  </si>
  <si>
    <t>Peru deal close</t>
  </si>
  <si>
    <t>Fibre also, very early stage</t>
  </si>
  <si>
    <t>Wholesale fibre and lease from others</t>
  </si>
  <si>
    <t>Fibre</t>
  </si>
  <si>
    <t>Be part of a company, or sell</t>
  </si>
  <si>
    <t>768k</t>
  </si>
  <si>
    <t>450k</t>
  </si>
  <si>
    <t>2022e</t>
  </si>
  <si>
    <t>Also rent</t>
  </si>
  <si>
    <t>Target 2.2m</t>
  </si>
  <si>
    <t>Lent</t>
  </si>
  <si>
    <t>extra 1.0m</t>
  </si>
  <si>
    <t>TEF sold Fibra to KKR</t>
  </si>
  <si>
    <t>Digital Bridge</t>
  </si>
  <si>
    <t>Bought Mundo</t>
  </si>
  <si>
    <t>Yes, a possibility</t>
  </si>
  <si>
    <t>WOM are starting to build</t>
  </si>
  <si>
    <t>Said want to go to residential</t>
  </si>
  <si>
    <t>72k internet clients, end-Sept in fibre</t>
  </si>
  <si>
    <t>Pen of 15-18%</t>
  </si>
  <si>
    <t>Benchmark - 30-35% by the end of Year 5</t>
  </si>
  <si>
    <t>BB</t>
  </si>
  <si>
    <t>Winning from VTR, some Telefonica</t>
  </si>
  <si>
    <t>Quality is the issue, VTR are still having problems</t>
  </si>
  <si>
    <t>No cheaper than VTR</t>
  </si>
  <si>
    <t xml:space="preserve">Sale price, USD million </t>
  </si>
  <si>
    <t>Implied FX</t>
  </si>
  <si>
    <t xml:space="preserve"> - of which Chile</t>
  </si>
  <si>
    <t xml:space="preserve"> - of which Peru</t>
  </si>
  <si>
    <t>Sale price, CLP million</t>
  </si>
  <si>
    <t>Extra cost</t>
  </si>
  <si>
    <t>FY 2021</t>
  </si>
  <si>
    <t>Per square foot, USD</t>
  </si>
  <si>
    <t>Total square feet</t>
  </si>
  <si>
    <t>CLP m</t>
  </si>
  <si>
    <t>EBITDAaL</t>
  </si>
  <si>
    <t>Leverage, IAS17</t>
  </si>
  <si>
    <t>Leverage, IFRS 16</t>
  </si>
  <si>
    <t>Proceeds after tax, CLP m</t>
  </si>
  <si>
    <t>New net debt, IAS 17</t>
  </si>
  <si>
    <t>New EBITDAaL</t>
  </si>
  <si>
    <t>Change in leverage</t>
  </si>
  <si>
    <t>EBITDA (IFRS 16)</t>
  </si>
  <si>
    <t>Pre-sale</t>
  </si>
  <si>
    <t>After sale</t>
  </si>
  <si>
    <t>New leverage (IAS 17)</t>
  </si>
  <si>
    <t>EV/EBITDA 2021 (IAS 17)</t>
  </si>
  <si>
    <t>Current</t>
  </si>
  <si>
    <t>After sale of data centres</t>
  </si>
  <si>
    <t>New (IFRS 16)</t>
  </si>
  <si>
    <t>Data centres sale</t>
  </si>
  <si>
    <t>External EBITDA</t>
  </si>
  <si>
    <t xml:space="preserve">Entel consumer </t>
  </si>
  <si>
    <t>Wireless service, y/y</t>
  </si>
  <si>
    <t xml:space="preserve"> Chile</t>
  </si>
  <si>
    <t xml:space="preserve"> Peru</t>
  </si>
  <si>
    <t>NSRe</t>
  </si>
  <si>
    <t>Consensus</t>
  </si>
  <si>
    <t>% diff</t>
  </si>
  <si>
    <t>Net debt, IAS 17</t>
  </si>
  <si>
    <t>Net debt, IFRS 16</t>
  </si>
  <si>
    <t>Net debt / EBITDA</t>
  </si>
  <si>
    <t>Chart 2 for Snap</t>
  </si>
  <si>
    <t>Chart 3 for Snap</t>
  </si>
  <si>
    <t>Pen</t>
  </si>
  <si>
    <t>Gross debt (ex lease liabilities)</t>
  </si>
  <si>
    <t>Cash generation</t>
  </si>
  <si>
    <t>Implied WC / FX</t>
  </si>
  <si>
    <t>y/y (new parameter)</t>
  </si>
  <si>
    <t>Revenue (ex-one offs)</t>
  </si>
  <si>
    <t>FTTH unique subs</t>
  </si>
  <si>
    <t>Entel Hogar (FTTH and wireless)</t>
  </si>
  <si>
    <t>Entel consumer mobile service</t>
  </si>
  <si>
    <t>Entel corp mobile service</t>
  </si>
  <si>
    <t>Peru margin</t>
  </si>
  <si>
    <t xml:space="preserve">Chile margin </t>
  </si>
  <si>
    <t>IFRS 16 OpEx</t>
  </si>
  <si>
    <t>Peru 5G</t>
  </si>
  <si>
    <t>No mandatory role out (like Chile). More rational deployment</t>
  </si>
  <si>
    <t>Fixed wireless access</t>
  </si>
  <si>
    <t>Limited to non fixed coverage areas. Can't compete with fibre</t>
  </si>
  <si>
    <t>As fixed expands</t>
  </si>
  <si>
    <t>Fibre infra sales</t>
  </si>
  <si>
    <t>No update</t>
  </si>
  <si>
    <t>Capex/sales for FY 23</t>
  </si>
  <si>
    <t>19-20% capex/sales…increasing most likely</t>
  </si>
  <si>
    <t>CHP1.8 billion per month</t>
  </si>
  <si>
    <t>Loss of data centres to EBITDA</t>
  </si>
  <si>
    <t>Combination of Chile and Peru</t>
  </si>
  <si>
    <t>Group constant FX</t>
  </si>
  <si>
    <t>Fibre HPs</t>
  </si>
  <si>
    <t>On Net Fibra (TEF / KKR)</t>
  </si>
  <si>
    <t>Mundo</t>
  </si>
  <si>
    <t>by YE 22e</t>
  </si>
  <si>
    <t>3m 2021, 4m by YE 22, 4.5m YE 23</t>
  </si>
  <si>
    <t>almost all overlap with VTR</t>
  </si>
  <si>
    <t>Total homes</t>
  </si>
  <si>
    <t>Total fibre passed</t>
  </si>
  <si>
    <t>Total homes passable</t>
  </si>
  <si>
    <t>Fibre per passable home</t>
  </si>
  <si>
    <t>HPs</t>
  </si>
  <si>
    <t>After tax proceeds</t>
  </si>
  <si>
    <t>12m EBITDA</t>
  </si>
  <si>
    <t>Net debt Q3 22 (IFRS 16)</t>
  </si>
  <si>
    <t>leverage</t>
  </si>
  <si>
    <t>as % proceeds</t>
  </si>
  <si>
    <t>Dividends</t>
  </si>
  <si>
    <t>Leverage today</t>
  </si>
  <si>
    <t>Leverage ex-deals</t>
  </si>
  <si>
    <t>Leverage ex deals / dividend</t>
  </si>
  <si>
    <t>EBITDA CLP</t>
  </si>
  <si>
    <t>Total (ex fibre)</t>
  </si>
  <si>
    <t>Q4 23e</t>
  </si>
  <si>
    <t>Q1 23e</t>
  </si>
  <si>
    <t>Public rates in Sept 22…8% average in Chile new rates, Peru whole base 6%</t>
  </si>
  <si>
    <t>Nov - Chile new tariffs whole base average of 5%</t>
  </si>
  <si>
    <t>2008 previous price increases</t>
  </si>
  <si>
    <t>Prices</t>
  </si>
  <si>
    <t>Fixed also</t>
  </si>
  <si>
    <t>Seeing increases elsewhere</t>
  </si>
  <si>
    <t>Market more worried about profitability</t>
  </si>
  <si>
    <t>WOM v aggressive with prices</t>
  </si>
  <si>
    <t>WOM not cutting prices any more</t>
  </si>
  <si>
    <t>Allowed to do 2 times per year</t>
  </si>
  <si>
    <t>No real impact yet, churn not changed too much</t>
  </si>
  <si>
    <t>May be some by 15 Feb, when prices come through</t>
  </si>
  <si>
    <t>CLP10,000 is the most common plan</t>
  </si>
  <si>
    <t>CLP20k no change to plans</t>
  </si>
  <si>
    <t>Datacentres</t>
  </si>
  <si>
    <t>CHP9.6 billion</t>
  </si>
  <si>
    <t>Some contracts</t>
  </si>
  <si>
    <t>1-2</t>
  </si>
  <si>
    <t>Higher cost</t>
  </si>
  <si>
    <t>USD300k less revs</t>
  </si>
  <si>
    <t>USD1.3m less EBITDA</t>
  </si>
  <si>
    <t>CLP13.1 billion less due to Teleeducation in 2022</t>
  </si>
  <si>
    <t>Same in EBITDA</t>
  </si>
  <si>
    <t>Schools / pandemic also in 2022</t>
  </si>
  <si>
    <t>EBITDA margin?</t>
  </si>
  <si>
    <t>Prices up, costs are up</t>
  </si>
  <si>
    <t>Higher consumption of energy, coming from 5G</t>
  </si>
  <si>
    <t>Working also on efficiencies</t>
  </si>
  <si>
    <t>Capex/sales for market leader is typically higher</t>
  </si>
  <si>
    <t>5G spend at the moment, reinforcing the 4G</t>
  </si>
  <si>
    <t>CHP 400 billion on capex in Chile</t>
  </si>
  <si>
    <t>Fibre coming out</t>
  </si>
  <si>
    <t>On net</t>
  </si>
  <si>
    <t>Perhaps June 2023</t>
  </si>
  <si>
    <t>New capacity by Q4 of 2023</t>
  </si>
  <si>
    <t>will build 0.4 by 2024</t>
  </si>
  <si>
    <t>5.6m HPs</t>
  </si>
  <si>
    <t>Costs for On net</t>
  </si>
  <si>
    <t>Margin will come down</t>
  </si>
  <si>
    <t>Mobile service bundling</t>
  </si>
  <si>
    <t>Convergence becoming</t>
  </si>
  <si>
    <t>Didn't sell a company</t>
  </si>
  <si>
    <t>~29% or so for 2023…not including fibre sale</t>
  </si>
  <si>
    <t>Focus on increase revenue share</t>
  </si>
  <si>
    <t>3rd position in mobile now…make a no2 perhaps</t>
  </si>
  <si>
    <t>Coverage out of Lima</t>
  </si>
  <si>
    <t>USD140m capex for 2023</t>
  </si>
  <si>
    <t>Efficiencies also</t>
  </si>
  <si>
    <t>Focus on profitability also….21-22% EBITDA margin….2025 nearer to 28%</t>
  </si>
  <si>
    <t>Every year there is a price rise. Did in September, across the market</t>
  </si>
  <si>
    <t>Vitel - reducing participation, like Movistar also</t>
  </si>
  <si>
    <t>Claro and Entel more aggressive</t>
  </si>
  <si>
    <t>Mid single digit revs growth</t>
  </si>
  <si>
    <t>On net - not sure on dividend</t>
  </si>
  <si>
    <t>VTR - Claro?</t>
  </si>
  <si>
    <t>Right now, VTR/Claro need to integrate</t>
  </si>
  <si>
    <t>Don't have 5G</t>
  </si>
  <si>
    <t>5G</t>
  </si>
  <si>
    <t xml:space="preserve">October…Subtel 63% of connections.. </t>
  </si>
  <si>
    <t>2 years ago…bidding process for 5G. Nothing happened yet</t>
  </si>
  <si>
    <t>Chile the only market pushing ahead on 5G</t>
  </si>
  <si>
    <t>Dividend policy</t>
  </si>
  <si>
    <t>&lt;80% of net income</t>
  </si>
  <si>
    <t>Shareholder meeting in April</t>
  </si>
  <si>
    <t>Unlimited</t>
  </si>
  <si>
    <t>Promotion</t>
  </si>
  <si>
    <t>Effective</t>
  </si>
  <si>
    <t>Details</t>
  </si>
  <si>
    <t>6m</t>
  </si>
  <si>
    <t>Entel 5G</t>
  </si>
  <si>
    <t>87% urban coverage</t>
  </si>
  <si>
    <t>WOM 5G</t>
  </si>
  <si>
    <t>715,000 customers with compatible devices</t>
  </si>
  <si>
    <t>promotion is standard</t>
  </si>
  <si>
    <t>Fibre sale</t>
  </si>
  <si>
    <t>USD358m</t>
  </si>
  <si>
    <t>3.9m accesses</t>
  </si>
  <si>
    <t>what %?</t>
  </si>
  <si>
    <t>1 million customers</t>
  </si>
  <si>
    <t>of total base</t>
  </si>
  <si>
    <t>How being offered?</t>
  </si>
  <si>
    <t>When close?</t>
  </si>
  <si>
    <t>Do customers know getting 5G?</t>
  </si>
  <si>
    <t>need different devices</t>
  </si>
  <si>
    <t>EBITDA impact?</t>
  </si>
  <si>
    <t>Why not book as financial lease?</t>
  </si>
  <si>
    <t>Set in USD or CLP</t>
  </si>
  <si>
    <t>Pricing</t>
  </si>
  <si>
    <t>Should see a lift in prices in Q1</t>
  </si>
  <si>
    <t>Why offering promotions on wireless</t>
  </si>
  <si>
    <t>Check GB usage</t>
  </si>
  <si>
    <t>How much impact on quarterly EBITDA?</t>
  </si>
  <si>
    <t>Q2</t>
  </si>
  <si>
    <t>Q3</t>
  </si>
  <si>
    <t>Has the whole sale been booked?</t>
  </si>
  <si>
    <t>Chilean fibre</t>
  </si>
  <si>
    <t>Mobile multi lines (Te Sumo)</t>
  </si>
  <si>
    <t>Is this a fixed product?</t>
  </si>
  <si>
    <t>FTTH penetration is 17.7%?</t>
  </si>
  <si>
    <t>Jan - 90% of base got a lift, 10% not (&gt;CLP20,000)</t>
  </si>
  <si>
    <t>Post-paid and pre-paid</t>
  </si>
  <si>
    <t>End of Jan, invoice with increase</t>
  </si>
  <si>
    <t>Q1 will not have a full quarter…pay by mid-Feb, so 1-1.5 months with prices</t>
  </si>
  <si>
    <t>No change to churn today…but it's early. Positive so far</t>
  </si>
  <si>
    <t>Other operators followed…some for new customers</t>
  </si>
  <si>
    <t>WOM -did for whole base</t>
  </si>
  <si>
    <t>Want to make it once per year</t>
  </si>
  <si>
    <t>Trying to push family plans…</t>
  </si>
  <si>
    <t>Te Sumo plans</t>
  </si>
  <si>
    <t>Can add family plans, with same benefits, but family pay less</t>
  </si>
  <si>
    <t>Need a handset for 5G</t>
  </si>
  <si>
    <t>Measure water..</t>
  </si>
  <si>
    <t>Surgeries</t>
  </si>
  <si>
    <t>Mining companies, trucks</t>
  </si>
  <si>
    <t>Corporate / B2B</t>
  </si>
  <si>
    <t>Flat because offset data centres/Teleducation</t>
  </si>
  <si>
    <t>No differentiation on pricing today for retail, 5G vs 4G</t>
  </si>
  <si>
    <t>Gamers keen….5G makes a difference</t>
  </si>
  <si>
    <t>Phase 1</t>
  </si>
  <si>
    <t>1100 sites</t>
  </si>
  <si>
    <t>Phase 2</t>
  </si>
  <si>
    <t>completed</t>
  </si>
  <si>
    <t>End-23</t>
  </si>
  <si>
    <t>260 sites, more complex, located out of main cities</t>
  </si>
  <si>
    <t>Hospitals</t>
  </si>
  <si>
    <t>Also, reinforcing 4G</t>
  </si>
  <si>
    <t>Part of 4G works with 5G</t>
  </si>
  <si>
    <t xml:space="preserve">3.5 GHz for 5G </t>
  </si>
  <si>
    <t>Q1 23</t>
  </si>
  <si>
    <t>Data centres still in Q1 22</t>
  </si>
  <si>
    <t>teleducation also</t>
  </si>
  <si>
    <t>Changed policy on credit for hiring plans, used to offer full credit</t>
  </si>
  <si>
    <t>Bad debt was growing</t>
  </si>
  <si>
    <t>Only for renewing handset</t>
  </si>
  <si>
    <t>Q4 22, Q1 23 reduction in Peru (double digit), Chile down 5-6%</t>
  </si>
  <si>
    <t>Group should be flattish in Q1</t>
  </si>
  <si>
    <t>Q4</t>
  </si>
  <si>
    <t>CLP7,700</t>
  </si>
  <si>
    <t>CLP4,100</t>
  </si>
  <si>
    <t>revenue not booked</t>
  </si>
  <si>
    <t>cost now booked</t>
  </si>
  <si>
    <t>Might move into Q3….asked for another 90 days</t>
  </si>
  <si>
    <t>Integration process, could be end-year</t>
  </si>
  <si>
    <t>UF 10.03 million</t>
  </si>
  <si>
    <t>20% pen</t>
  </si>
  <si>
    <t>Thereafter, a commercial obligation</t>
  </si>
  <si>
    <t>High still in 2023/24</t>
  </si>
  <si>
    <t>Prices in Sept</t>
  </si>
  <si>
    <t>Will support Q1</t>
  </si>
  <si>
    <t>Handsets down</t>
  </si>
  <si>
    <t>Wanted a healthier sale</t>
  </si>
  <si>
    <t>EBITDA won't increase either</t>
  </si>
  <si>
    <t>Structure</t>
  </si>
  <si>
    <t>Enterprise and SME business merged into one</t>
  </si>
  <si>
    <t>Reduced cost, with a one-time</t>
  </si>
  <si>
    <t>400 headcount reduction</t>
  </si>
  <si>
    <t>Trying to grow outside of Lima</t>
  </si>
  <si>
    <t>Typically more competitive</t>
  </si>
  <si>
    <t>So still focusing here</t>
  </si>
  <si>
    <t>Rapid move from 4G to 5G, much quicker than 3 to 4</t>
  </si>
  <si>
    <t>Up to $670m in Chile and Peru</t>
  </si>
  <si>
    <t>Price increases in Chile and Peru</t>
  </si>
  <si>
    <t>FTTH closing date</t>
  </si>
  <si>
    <t>Jan - not all customers</t>
  </si>
  <si>
    <t>Not a full quarter yet</t>
  </si>
  <si>
    <t>Competition is tough, some commercial discounts</t>
  </si>
  <si>
    <t>Tariffs up has helped maintain ARPU in flat terms</t>
  </si>
  <si>
    <t>Last quarter of the year</t>
  </si>
  <si>
    <t>Tariffs?</t>
  </si>
  <si>
    <t>Some negative impact, slight increase in churn through March, weeks in April</t>
  </si>
  <si>
    <t xml:space="preserve">expect to be one time </t>
  </si>
  <si>
    <t>Reorganisation process</t>
  </si>
  <si>
    <t>Cut of 6% of headcount</t>
  </si>
  <si>
    <t>One time cost is CLP4500 in Chile, and similar in Peru</t>
  </si>
  <si>
    <t>Financing options</t>
  </si>
  <si>
    <t>Meet 2023 maturties in cash</t>
  </si>
  <si>
    <t>2024 - other options, depends on conditions. Most probably will refinance</t>
  </si>
  <si>
    <t>In the note in the release</t>
  </si>
  <si>
    <t>Bad debt provision</t>
  </si>
  <si>
    <t>don’t foresee other bad debt provions</t>
  </si>
  <si>
    <t>macro and politics</t>
  </si>
  <si>
    <t>Some price increases…optimistic. Think this trend should stabilise ARPUs</t>
  </si>
  <si>
    <t>Churn and portings though likely to continue…attack on Entel as prices have gone up</t>
  </si>
  <si>
    <t>VTR/Claro - nothing different here</t>
  </si>
  <si>
    <t>One time charge</t>
  </si>
  <si>
    <t>Use of proceeds? Need approval, and then Board</t>
  </si>
  <si>
    <t>31-32%...this is the target margin</t>
  </si>
  <si>
    <t>Neutral</t>
  </si>
  <si>
    <t>Total ex</t>
  </si>
  <si>
    <t>3.5*</t>
  </si>
  <si>
    <t>* Only 50 MHz of Entel's 3.5 GHz is useable for 5G services, the balance is for fixed wireless</t>
  </si>
  <si>
    <t>2.6**</t>
  </si>
  <si>
    <t>** Telefonica has another 12 MHz of 2.6 GHz for TDD in the metro areas</t>
  </si>
  <si>
    <t>Q2 23</t>
  </si>
  <si>
    <t>Q3 23</t>
  </si>
  <si>
    <t xml:space="preserve">What seeing from Claro </t>
  </si>
  <si>
    <t>Deal with ON*NETFIBRA</t>
  </si>
  <si>
    <t>1.3m but have to sell some?</t>
  </si>
  <si>
    <t>4.3m in total</t>
  </si>
  <si>
    <t>How book, lease liability/other?</t>
  </si>
  <si>
    <t>$432m (UF 10.2 m)</t>
  </si>
  <si>
    <t>Prices on wireless in Chile</t>
  </si>
  <si>
    <t>Received Dec-22</t>
  </si>
  <si>
    <t>1.2m originally in Oct-22</t>
  </si>
  <si>
    <t xml:space="preserve">Finally sold was 1.3m </t>
  </si>
  <si>
    <t>ONNET have 2.7m…so 4.0m HPs in total</t>
  </si>
  <si>
    <t>Will build another 0.3m in 2024</t>
  </si>
  <si>
    <t>Regulator mentioned ONNET need to divest 300k in 8 sectors</t>
  </si>
  <si>
    <t>4.0m after divestment</t>
  </si>
  <si>
    <t>Decrease in EBITDA 2-3 years. And more opex on marketing/sales</t>
  </si>
  <si>
    <t>3-4 years.. EBITDA margin zero</t>
  </si>
  <si>
    <t>No guidance yet for 2024</t>
  </si>
  <si>
    <t>Results Jan 25th</t>
  </si>
  <si>
    <t>Increase customers and revenue</t>
  </si>
  <si>
    <t>Per line basis is volume linked…4th year get much better economics</t>
  </si>
  <si>
    <t>Movistar is the only tennent today</t>
  </si>
  <si>
    <t>Entel need to be in the fibre business</t>
  </si>
  <si>
    <t>Offer fibre to mobile customers also</t>
  </si>
  <si>
    <t>Target 25%</t>
  </si>
  <si>
    <t>Targeting 25% market share of broadband…7% today</t>
  </si>
  <si>
    <t>Entel will have the final customer contact…good customer service</t>
  </si>
  <si>
    <t>Capex $200 per fibre</t>
  </si>
  <si>
    <t>Not increasing prices yet this month</t>
  </si>
  <si>
    <t>Last year was a good start.. all others followed</t>
  </si>
  <si>
    <t>Now looking at when best to increase…when increased prices, had a small impact last Jan</t>
  </si>
  <si>
    <t>Efficiency plan from Mar 2023</t>
  </si>
  <si>
    <t>Slightly higher than in 2023</t>
  </si>
  <si>
    <t>21-23% of revenue</t>
  </si>
  <si>
    <t>Still not defined regarding 5G, fibre</t>
  </si>
  <si>
    <t>The last ones to increase price after very aggressive promotions</t>
  </si>
  <si>
    <t>In general</t>
  </si>
  <si>
    <t>Focus on profitability from all companies</t>
  </si>
  <si>
    <t>2024E net debt (IAS 17)</t>
  </si>
  <si>
    <t>2024 target price</t>
  </si>
  <si>
    <t xml:space="preserve">YE 24 shares </t>
  </si>
  <si>
    <t>CLP 3150</t>
  </si>
  <si>
    <t>Q4 23</t>
  </si>
  <si>
    <t>NSR</t>
  </si>
  <si>
    <t>Reported MSR</t>
  </si>
  <si>
    <t>B2C postpaid MSR</t>
  </si>
  <si>
    <t>B2C prepaid MSR</t>
  </si>
  <si>
    <t>B2B MSR</t>
  </si>
  <si>
    <t>B2C</t>
  </si>
  <si>
    <t>Headline EBITDA</t>
  </si>
  <si>
    <t>Wireless revenue trends</t>
  </si>
  <si>
    <t>Wireline revenue trends</t>
  </si>
  <si>
    <t>Fixed and ICT revenue</t>
  </si>
  <si>
    <t>Fixed and ICT</t>
  </si>
  <si>
    <t>EBITDA margins</t>
  </si>
  <si>
    <t>Net leverage</t>
  </si>
  <si>
    <t>Peru (CLP)</t>
  </si>
  <si>
    <t>Peru (PEN cst)</t>
  </si>
  <si>
    <t>Calculated MSR</t>
  </si>
  <si>
    <t>CLP mn</t>
  </si>
  <si>
    <t>Margins</t>
  </si>
  <si>
    <t>24 EBITDA (IAS 17)</t>
  </si>
  <si>
    <t>Fibre sale, how is it booked in the P&amp;L?</t>
  </si>
  <si>
    <t>Capex to sales trajectory?</t>
  </si>
  <si>
    <t>Cost saving program, where are you cutting costs?</t>
  </si>
  <si>
    <t>Special dividends?</t>
  </si>
  <si>
    <t>Dividend policy?</t>
  </si>
  <si>
    <t>Economics/prospects for the fibre JV?</t>
  </si>
  <si>
    <t>Q1 24e</t>
  </si>
  <si>
    <t>Q2 24e</t>
  </si>
  <si>
    <t>Q3 24e</t>
  </si>
  <si>
    <t>Q4 24e</t>
  </si>
  <si>
    <t>Peru service revs down 6%</t>
  </si>
  <si>
    <t>Peru margin from 25% to 20%</t>
  </si>
  <si>
    <t>Gain rolled over into 2024</t>
  </si>
  <si>
    <t>Mobile service</t>
  </si>
  <si>
    <t>Mobile equipment</t>
  </si>
  <si>
    <t>Total mobile</t>
  </si>
  <si>
    <t>Wireless Peru, SOL m</t>
  </si>
  <si>
    <t>equipment as %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</si>
</sst>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7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.0"/>
    <numFmt numFmtId="166" formatCode="_-* #,##0\ &quot;pta&quot;_-;\-* #,##0\ &quot;pta&quot;_-;_-* &quot;-&quot;\ &quot;pta&quot;_-;_-@_-"/>
    <numFmt numFmtId="167" formatCode="_(&quot;$&quot;* #,##0.00_);_(&quot;$&quot;* \(#,##0.00\);_(&quot;$&quot;* &quot;-&quot;??_);_(@_)"/>
    <numFmt numFmtId="168" formatCode="General_)"/>
    <numFmt numFmtId="169" formatCode="_-* #,##0\ _p_t_a_-;\-* #,##0\ _p_t_a_-;_-* &quot;-&quot;\ _p_t_a_-;_-@_-"/>
    <numFmt numFmtId="170" formatCode="_-* #,##0.00\ &quot;pta&quot;_-;\-* #,##0.00\ &quot;pta&quot;_-;_-* &quot;-&quot;??\ &quot;pta&quot;_-;_-@_-"/>
    <numFmt numFmtId="171" formatCode="_-* #,##0.00\ _p_t_a_-;\-* #,##0.00\ _p_t_a_-;_-* &quot;-&quot;??\ _p_t_a_-;_-@_-"/>
    <numFmt numFmtId="172" formatCode="_(* #,##0_);_(* \(#,##0\);_(* &quot;-&quot;??_);_(@_)"/>
    <numFmt numFmtId="173" formatCode="_(* #,##0.0_);_(* \(#,##0.0\);_(* &quot;-&quot;??_);_(@_)"/>
    <numFmt numFmtId="174" formatCode="&quot;$&quot;#,##0.00_);[Red]\(&quot;$&quot;#,##0.00\)"/>
    <numFmt numFmtId="175" formatCode="_-* #,##0.0_-;\-* #,##0.0_-;_-* &quot;-&quot;??_-;_-@_-"/>
    <numFmt numFmtId="176" formatCode="_-* #,##0_-;\-* #,##0_-;_-* &quot;-&quot;??_-;_-@_-"/>
    <numFmt numFmtId="177" formatCode=";;;@&quot;  &quot;"/>
    <numFmt numFmtId="178" formatCode="_(&quot;$&quot;* #,##0_);_(&quot;$&quot;* \(#,##0\);_(&quot;$&quot;* &quot;-&quot;_);_(@_)"/>
    <numFmt numFmtId="179" formatCode="#,##0.0"/>
    <numFmt numFmtId="180" formatCode="#,##0_ ;\-#,##0\ "/>
    <numFmt numFmtId="181" formatCode="#,##0.0_);\(#,##0.0\)"/>
    <numFmt numFmtId="182" formatCode="&quot;$&quot;_(#,##0.00_);&quot;$&quot;\(#,##0.00\)"/>
    <numFmt numFmtId="183" formatCode="#,##0.0_)\x;\(#,##0.0\)\x"/>
    <numFmt numFmtId="184" formatCode="#,##0.0_)_x;\(#,##0.0\)_x"/>
    <numFmt numFmtId="185" formatCode="0.0_)\%;\(0.0\)\%"/>
    <numFmt numFmtId="186" formatCode="#,##0.0_)_%;\(#,##0.0\)_%"/>
    <numFmt numFmtId="187" formatCode="0.000%"/>
    <numFmt numFmtId="188" formatCode="#,##0.00\ &quot;Kč&quot;;[Red]\-#,##0.00\ &quot;Kč&quot;"/>
    <numFmt numFmtId="189" formatCode="0_);\(0\)"/>
    <numFmt numFmtId="190" formatCode="0&quot;E&quot;;\(0\)&quot;E&quot;"/>
    <numFmt numFmtId="191" formatCode="#,##0;\(#,##0\)"/>
    <numFmt numFmtId="192" formatCode="_(* #,##0.00_);_(* \(#,##0.00\);_(* &quot;-&quot;??_);_(@_)"/>
    <numFmt numFmtId="193" formatCode="#,##0,;\-#,##0,"/>
    <numFmt numFmtId="194" formatCode="#,##0.000_);[Red]\(#,##0.000\)"/>
    <numFmt numFmtId="195" formatCode="#,##0.00_);[Red]\-#,##0.00_);0.00_);@_)"/>
    <numFmt numFmtId="196" formatCode="0.00_);\(0.00\);0.00"/>
    <numFmt numFmtId="197" formatCode="_-\€* #,##0.00_-;\-\€* #,##0.00_-;_-\€* &quot;-&quot;??_-;_-@_-"/>
    <numFmt numFmtId="198" formatCode="* _(#,##0.00_);[Red]* \(#,##0.00\);* _(&quot;-&quot;?_);@_)"/>
    <numFmt numFmtId="199" formatCode="_-\€* #,##0_-;\-\€* #,##0_-;_-\€* &quot;-&quot;_-;_-@_-"/>
    <numFmt numFmtId="200" formatCode="0.0%_);\(0.0%\)_)"/>
    <numFmt numFmtId="201" formatCode="\$\ * _(#,##0_);[Red]\$\ * \(#,##0\);\$\ * _(&quot;-&quot;?_);@_)"/>
    <numFmt numFmtId="202" formatCode="\$\ * _(#,##0.00_);[Red]\$\ * \(#,##0.00\);\$\ * _(&quot;-&quot;?_);@_)"/>
    <numFmt numFmtId="203" formatCode="[$EUR]\ * _(#,##0_);[Red][$EUR]\ * \(#,##0\);[$EUR]\ * _(&quot;-&quot;?_);@_)"/>
    <numFmt numFmtId="204" formatCode="[$EUR]\ * _(#,##0.00_);[Red][$EUR]\ * \(#,##0.00\);[$EUR]\ * _(&quot;-&quot;?_);@_)"/>
    <numFmt numFmtId="205" formatCode="\€\ * _(#,##0_);[Red]\€\ * \(#,##0\);\€\ * _(&quot;-&quot;?_);@_)"/>
    <numFmt numFmtId="206" formatCode="\€\ * _(#,##0.00_);[Red]\€\ * \(#,##0.00\);\€\ * _(&quot;-&quot;?_);@_)"/>
    <numFmt numFmtId="207" formatCode="[$GBP]\ * _(#,##0_);[Red][$GBP]\ * \(#,##0\);[$GBP]\ * _(&quot;-&quot;?_);@_)"/>
    <numFmt numFmtId="208" formatCode="[$GBP]\ * _(#,##0.00_);[Red][$GBP]\ * \(#,##0.00\);[$GBP]\ * _(&quot;-&quot;?_);@_)"/>
    <numFmt numFmtId="209" formatCode="\£\ * _(#,##0_);[Red]\£\ * \(#,##0\);\£\ * _(&quot;-&quot;?_);@_)"/>
    <numFmt numFmtId="210" formatCode="\£\ * _(#,##0.00_);[Red]\£\ * \(#,##0.00\);\£\ * _(&quot;-&quot;?_);@_)"/>
    <numFmt numFmtId="211" formatCode="[$USD]\ * _(#,##0_);[Red][$USD]\ * \(#,##0\);[$USD]\ * _(&quot;-&quot;?_);@_)"/>
    <numFmt numFmtId="212" formatCode="[$USD]\ * _(#,##0.00_);[Red][$USD]\ * \(#,##0.00\);[$USD]\ * _(&quot;-&quot;?_);@_)"/>
    <numFmt numFmtId="213" formatCode="&quot;$&quot;#,##0.00000000000000000000000000_);[Red]\(&quot;$&quot;#,##0.00000000000000000000000000\)"/>
    <numFmt numFmtId="214" formatCode="mmm\ yy_)"/>
    <numFmt numFmtId="215" formatCode="yyyy_)"/>
    <numFmt numFmtId="216" formatCode="#,##0.000;\(#,##0.000\)"/>
    <numFmt numFmtId="217" formatCode="#,##0.00;\(#,##0.00\)"/>
    <numFmt numFmtId="218" formatCode="yyyy"/>
    <numFmt numFmtId="219" formatCode="#,##0_);\(#,##0\);0_)"/>
    <numFmt numFmtId="220" formatCode="#,##0.0000_);[Red]\(#,##0.0000\);0.0000_)"/>
    <numFmt numFmtId="221" formatCode="&quot;$&quot;#,##0_);[Red]\(&quot;$&quot;#,##0\)"/>
    <numFmt numFmtId="222" formatCode="00000"/>
    <numFmt numFmtId="223" formatCode="&quot;$&quot;#,##0.00&quot;A&quot;;[Red]\(&quot;$&quot;#,##0.00\)&quot;A&quot;"/>
    <numFmt numFmtId="224" formatCode="&quot;$&quot;#,##0.00&quot;E&quot;;[Red]\(&quot;$&quot;#,##0.00\)&quot;E&quot;"/>
    <numFmt numFmtId="225" formatCode="#\ ##0.0"/>
    <numFmt numFmtId="226" formatCode="#,##0.0_);[Red]\(#,##0.0\)"/>
    <numFmt numFmtId="227" formatCode="0.0%_);[Red]\(0.0%\)"/>
    <numFmt numFmtId="228" formatCode="#,##0.0;\(#,##0.0\)"/>
    <numFmt numFmtId="229" formatCode="0.00%;\(0.00%\)"/>
    <numFmt numFmtId="230" formatCode="###0"/>
    <numFmt numFmtId="231" formatCode="#,##0_);[Red]\-#,##0_);0_);@_)"/>
    <numFmt numFmtId="232" formatCode="0.00_);\(0.00\);0.00_)"/>
    <numFmt numFmtId="233" formatCode="#,##0.0_ ;[Red]\-#,##0.0\ "/>
    <numFmt numFmtId="234" formatCode="0.0_ ;[Red]\-0.0\ "/>
    <numFmt numFmtId="235" formatCode="0.0%_);\(0.0%\)"/>
    <numFmt numFmtId="236" formatCode="_-* #,##0_ _F_-;\-* #,##0_ _F_-;_-* &quot;-&quot;_ _F_-;_-@_-"/>
    <numFmt numFmtId="237" formatCode="#,##0.00_);[Red]\(#,##0.00\);0.00_)"/>
    <numFmt numFmtId="238" formatCode="_-* #,##0.00_ _F_-;\-* #,##0.00_ _F_-;_-* &quot;-&quot;??_ _F_-;_-@_-"/>
    <numFmt numFmtId="239" formatCode="_-* #,##0&quot; F&quot;_-;\-* #,##0&quot; F&quot;_-;_-* &quot;-&quot;&quot; F&quot;_-;_-@_-"/>
    <numFmt numFmtId="240" formatCode="#,##0.00_)&quot; F&quot;;[Red]\(#,##0.00\)&quot; F&quot;;0.00_)&quot; F&quot;"/>
    <numFmt numFmtId="241" formatCode="_-* #,##0.00&quot; F&quot;_-;\-* #,##0.00&quot; F&quot;_-;_-* &quot;-&quot;??&quot; F&quot;_-;_-@_-"/>
    <numFmt numFmtId="242" formatCode="_ * #,##0.00_ ;_ * \-#,##0.00_ ;_ * &quot;-&quot;??_ ;_ @_ "/>
    <numFmt numFmtId="243" formatCode="_-* #,##0.00\ _K_č_-;\-* #,##0.00\ _K_č_-;_-* &quot;-&quot;??\ _K_č_-;_-@_-"/>
    <numFmt numFmtId="244" formatCode="0.0000"/>
    <numFmt numFmtId="245" formatCode="#,##0_);\(#,##0\);;"/>
    <numFmt numFmtId="246" formatCode="#,##0.0000;\(#,##0.0000\)"/>
    <numFmt numFmtId="247" formatCode="#,##0%;[Red]\-#,##0%;0%;@_)"/>
    <numFmt numFmtId="248" formatCode="#,##0.00%;[Red]\-#,##0.00%;0.00%;@_)"/>
    <numFmt numFmtId="249" formatCode="0%;[Red]\-0%"/>
    <numFmt numFmtId="250" formatCode="0.00\%;\-0.00\%;0.00\%"/>
    <numFmt numFmtId="251" formatCode="0.00%_);\(0.00%\)"/>
    <numFmt numFmtId="252" formatCode="#.0"/>
    <numFmt numFmtId="253" formatCode="&quot;kr&quot;\ #,##0_);[Red]\(&quot;kr&quot;\ #,##0\)"/>
    <numFmt numFmtId="254" formatCode="0.00\x;\-0.00\x;0.00\x"/>
    <numFmt numFmtId="255" formatCode="##0.00000"/>
    <numFmt numFmtId="256" formatCode="0\.00%;[Red]\-0\.00%"/>
    <numFmt numFmtId="257" formatCode="0.0000%"/>
    <numFmt numFmtId="258" formatCode="#,##0.00_)\ \x;\(#,##0.00\)\ \x"/>
    <numFmt numFmtId="259" formatCode="&quot;kr&quot;\ #,##0.00_);[Red]\(&quot;kr&quot;\ #,##0.00\)"/>
    <numFmt numFmtId="260" formatCode="_(* #,##0_);_(* \(#,##0\);_(* &quot;-&quot;_);_(@_)"/>
    <numFmt numFmtId="261" formatCode="#,##0.0\ ;\(#,##0.0\)"/>
    <numFmt numFmtId="262" formatCode="#,##0.00\ ;\(#,##0.00\)"/>
    <numFmt numFmtId="263" formatCode="_-* #,##0.00\ _€_-;\-* #,##0.00\ _€_-;_-* &quot;-&quot;??\ _€_-;_-@_-"/>
    <numFmt numFmtId="264" formatCode="_-* #,##0.000_-;\-* #,##0.000_-;_-* &quot;-&quot;??_-;_-@_-"/>
    <numFmt numFmtId="265" formatCode="0.0\x"/>
    <numFmt numFmtId="266" formatCode="0.000"/>
    <numFmt numFmtId="267" formatCode="0.00\x"/>
    <numFmt numFmtId="268" formatCode="#,##0_);\(#,##0\);#,##0_);@_)"/>
  </numFmts>
  <fonts count="184"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Verdana"/>
      <family val="2"/>
    </font>
    <font>
      <b/>
      <sz val="14"/>
      <color indexed="8"/>
      <name val="Helvetica"/>
      <family val="2"/>
    </font>
    <font>
      <b/>
      <sz val="10"/>
      <color indexed="8"/>
      <name val="Helvetica"/>
      <family val="2"/>
    </font>
    <font>
      <sz val="10"/>
      <name val="Book Antiqua"/>
      <family val="1"/>
    </font>
    <font>
      <sz val="10"/>
      <color indexed="8"/>
      <name val="Helvetica"/>
      <family val="2"/>
    </font>
    <font>
      <b/>
      <sz val="12"/>
      <color indexed="8"/>
      <name val="Helvetica"/>
      <family val="2"/>
    </font>
    <font>
      <b/>
      <u/>
      <sz val="12"/>
      <name val="L Serifa Light"/>
    </font>
    <font>
      <sz val="10"/>
      <name val="Helv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2947C7"/>
      <name val="Trebuchet MS"/>
      <family val="2"/>
    </font>
    <font>
      <b/>
      <sz val="10"/>
      <color indexed="12"/>
      <name val="Trebuchet M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b/>
      <sz val="10"/>
      <color theme="3" tint="0.39997558519241921"/>
      <name val="Trebuchet MS"/>
      <family val="2"/>
    </font>
    <font>
      <b/>
      <u/>
      <sz val="10"/>
      <name val="Trebuchet MS"/>
      <family val="2"/>
    </font>
    <font>
      <sz val="11"/>
      <color theme="1"/>
      <name val="Trebuchet MS"/>
      <family val="2"/>
    </font>
    <font>
      <b/>
      <sz val="10"/>
      <color theme="3"/>
      <name val="Trebuchet MS"/>
      <family val="2"/>
    </font>
    <font>
      <sz val="8"/>
      <name val="Arial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sz val="10"/>
      <name val="MS Sans Serif"/>
      <family val="2"/>
    </font>
    <font>
      <sz val="10"/>
      <color indexed="8"/>
      <name val="MS Sans Serif"/>
      <family val="2"/>
    </font>
    <font>
      <sz val="12"/>
      <name val="·s²Ó©úÅé"/>
      <charset val="136"/>
    </font>
    <font>
      <sz val="8"/>
      <color indexed="8"/>
      <name val="MS Sans Serif"/>
      <family val="2"/>
    </font>
    <font>
      <sz val="10"/>
      <name val="Times New Roman"/>
      <family val="1"/>
    </font>
    <font>
      <b/>
      <sz val="12"/>
      <name val="Helv"/>
    </font>
    <font>
      <sz val="8"/>
      <name val="Times New Roman"/>
      <family val="1"/>
    </font>
    <font>
      <sz val="12"/>
      <name val="Arial"/>
      <family val="2"/>
    </font>
    <font>
      <sz val="10"/>
      <color indexed="10"/>
      <name val="Times New Roman"/>
      <family val="1"/>
    </font>
    <font>
      <b/>
      <sz val="11"/>
      <color indexed="10"/>
      <name val="Times New Roman"/>
      <family val="1"/>
    </font>
    <font>
      <b/>
      <i/>
      <sz val="11"/>
      <color indexed="9"/>
      <name val="Times New Roman"/>
      <family val="1"/>
    </font>
    <font>
      <sz val="8"/>
      <color indexed="12"/>
      <name val="Times"/>
      <family val="1"/>
    </font>
    <font>
      <u val="singleAccounting"/>
      <sz val="10"/>
      <name val="Arial"/>
      <family val="2"/>
    </font>
    <font>
      <sz val="12"/>
      <color indexed="10"/>
      <name val="Times New Roman"/>
      <family val="1"/>
    </font>
    <font>
      <b/>
      <sz val="10"/>
      <name val="Helv"/>
    </font>
    <font>
      <sz val="10"/>
      <color indexed="18"/>
      <name val="Times New Roman"/>
      <family val="1"/>
    </font>
    <font>
      <i/>
      <sz val="9"/>
      <color indexed="55"/>
      <name val="Arial"/>
      <family val="2"/>
    </font>
    <font>
      <sz val="10"/>
      <name val="MS Sans Serif"/>
      <family val="2"/>
    </font>
    <font>
      <b/>
      <sz val="10"/>
      <name val="Times New Roman"/>
      <family val="1"/>
    </font>
    <font>
      <sz val="8"/>
      <name val="Helvetica"/>
      <family val="2"/>
    </font>
    <font>
      <sz val="10"/>
      <name val="Frutiger 45 Light"/>
      <family val="2"/>
    </font>
    <font>
      <sz val="10"/>
      <name val="Geneva"/>
    </font>
    <font>
      <sz val="10"/>
      <color indexed="22"/>
      <name val="Arial"/>
      <family val="2"/>
    </font>
    <font>
      <sz val="24"/>
      <name val="MS Sans Serif"/>
      <family val="2"/>
    </font>
    <font>
      <b/>
      <sz val="8"/>
      <name val="Arial"/>
      <family val="2"/>
    </font>
    <font>
      <b/>
      <sz val="8"/>
      <name val="Times New Roman"/>
      <family val="1"/>
    </font>
    <font>
      <sz val="12"/>
      <color indexed="14"/>
      <name val="Times New Roman"/>
      <family val="1"/>
    </font>
    <font>
      <sz val="10"/>
      <name val="Arial Narrow"/>
      <family val="2"/>
    </font>
    <font>
      <u val="doubleAccounting"/>
      <sz val="10"/>
      <name val="Arial"/>
      <family val="2"/>
    </font>
    <font>
      <b/>
      <i/>
      <sz val="8"/>
      <color indexed="12"/>
      <name val="HelveticaNeue Condensed"/>
    </font>
    <font>
      <sz val="10"/>
      <color indexed="12"/>
      <name val="Arial"/>
      <family val="2"/>
    </font>
    <font>
      <b/>
      <u/>
      <sz val="12"/>
      <name val="Arial Narrow"/>
      <family val="2"/>
    </font>
    <font>
      <sz val="10"/>
      <color indexed="2"/>
      <name val="Tahoma"/>
      <family val="2"/>
    </font>
    <font>
      <b/>
      <sz val="7"/>
      <color indexed="12"/>
      <name val="Arial"/>
      <family val="2"/>
    </font>
    <font>
      <b/>
      <sz val="10"/>
      <color indexed="0"/>
      <name val="Tahoma"/>
      <family val="2"/>
    </font>
    <font>
      <u/>
      <sz val="10"/>
      <color indexed="36"/>
      <name val="Arial"/>
      <family val="2"/>
    </font>
    <font>
      <i/>
      <sz val="8"/>
      <color indexed="17"/>
      <name val="Times New Roman"/>
      <family val="1"/>
    </font>
    <font>
      <sz val="8"/>
      <color indexed="21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12"/>
      <name val="Times New Roman"/>
      <family val="1"/>
    </font>
    <font>
      <sz val="10"/>
      <color indexed="12"/>
      <name val="Times New Roman"/>
      <family val="1"/>
    </font>
    <font>
      <b/>
      <sz val="12"/>
      <color indexed="10"/>
      <name val="Arial"/>
      <family val="2"/>
    </font>
    <font>
      <b/>
      <sz val="10"/>
      <color indexed="18"/>
      <name val="Times New Roman"/>
      <family val="1"/>
    </font>
    <font>
      <sz val="10"/>
      <name val="Tahoma"/>
      <family val="2"/>
    </font>
    <font>
      <sz val="8"/>
      <color indexed="8"/>
      <name val="Helvetica"/>
      <family val="2"/>
    </font>
    <font>
      <u/>
      <sz val="6"/>
      <color indexed="12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8"/>
      <color indexed="39"/>
      <name val="Arial"/>
      <family val="2"/>
    </font>
    <font>
      <sz val="8"/>
      <color indexed="10"/>
      <name val="Helv"/>
    </font>
    <font>
      <sz val="10"/>
      <color indexed="16"/>
      <name val="MS Sans Serif"/>
      <family val="2"/>
    </font>
    <font>
      <b/>
      <sz val="12"/>
      <color indexed="17"/>
      <name val="Wingdings"/>
      <charset val="2"/>
    </font>
    <font>
      <b/>
      <sz val="18"/>
      <name val="Times New Roman"/>
      <family val="1"/>
    </font>
    <font>
      <b/>
      <sz val="8"/>
      <color indexed="14"/>
      <name val="MS Sans Serif"/>
      <family val="2"/>
    </font>
    <font>
      <sz val="8"/>
      <color indexed="18"/>
      <name val="Times New Roman"/>
      <family val="1"/>
    </font>
    <font>
      <b/>
      <i/>
      <sz val="10"/>
      <color indexed="4"/>
      <name val="Tahoma"/>
      <family val="2"/>
    </font>
    <font>
      <sz val="10"/>
      <color indexed="4"/>
      <name val="Tahoma"/>
      <family val="2"/>
    </font>
    <font>
      <i/>
      <sz val="9"/>
      <color indexed="16"/>
      <name val="Arial"/>
      <family val="2"/>
    </font>
    <font>
      <sz val="7"/>
      <name val="Small Fonts"/>
      <family val="2"/>
    </font>
    <font>
      <sz val="7"/>
      <color indexed="12"/>
      <name val="Arial"/>
      <family val="2"/>
    </font>
    <font>
      <i/>
      <sz val="10"/>
      <name val="Helv"/>
    </font>
    <font>
      <i/>
      <sz val="12"/>
      <color indexed="10"/>
      <name val="Times New Roman"/>
      <family val="1"/>
    </font>
    <font>
      <sz val="8"/>
      <color indexed="8"/>
      <name val="Arial"/>
      <family val="2"/>
    </font>
    <font>
      <i/>
      <sz val="10"/>
      <name val="Helvetica"/>
    </font>
    <font>
      <b/>
      <sz val="8"/>
      <color indexed="18"/>
      <name val="Times New Roman"/>
      <family val="1"/>
    </font>
    <font>
      <sz val="8"/>
      <name val="Univers"/>
      <family val="2"/>
    </font>
    <font>
      <sz val="8"/>
      <color indexed="10"/>
      <name val="Arial"/>
      <family val="2"/>
    </font>
    <font>
      <sz val="10"/>
      <name val="GillSans Light"/>
    </font>
    <font>
      <sz val="8"/>
      <name val="COUR"/>
    </font>
    <font>
      <sz val="10"/>
      <name val="COUR"/>
    </font>
    <font>
      <sz val="12"/>
      <color indexed="12"/>
      <name val="Times New Roman"/>
      <family val="1"/>
    </font>
    <font>
      <sz val="10"/>
      <color indexed="23"/>
      <name val="MS Sans Serif"/>
      <family val="2"/>
    </font>
    <font>
      <b/>
      <sz val="14"/>
      <name val="Times New Roman"/>
      <family val="1"/>
    </font>
    <font>
      <b/>
      <sz val="12"/>
      <name val="MS Sans Serif"/>
      <family val="2"/>
    </font>
    <font>
      <b/>
      <sz val="10"/>
      <name val="GillSans"/>
    </font>
    <font>
      <b/>
      <sz val="16"/>
      <name val="Times New Roman"/>
      <family val="1"/>
    </font>
    <font>
      <b/>
      <sz val="10"/>
      <color indexed="16"/>
      <name val="Times New Roman"/>
      <family val="1"/>
    </font>
    <font>
      <sz val="8"/>
      <name val="MS Sans Serif"/>
      <family val="2"/>
    </font>
    <font>
      <i/>
      <sz val="9"/>
      <name val="Times New Roman"/>
      <family val="1"/>
    </font>
    <font>
      <b/>
      <i/>
      <sz val="10"/>
      <name val="Arial"/>
      <family val="2"/>
    </font>
    <font>
      <sz val="8"/>
      <color indexed="9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10"/>
      <color theme="4"/>
      <name val="Trebuchet MS"/>
      <family val="2"/>
    </font>
    <font>
      <sz val="8"/>
      <name val="Trebuchet MS"/>
      <family val="2"/>
    </font>
    <font>
      <b/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0"/>
      <color indexed="8"/>
      <name val="Arial"/>
      <family val="2"/>
    </font>
    <font>
      <i/>
      <sz val="10"/>
      <color theme="1"/>
      <name val="Trebuchet MS"/>
      <family val="2"/>
    </font>
    <font>
      <i/>
      <sz val="10"/>
      <name val="Trebuchet MS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Trebuchet MS"/>
      <family val="2"/>
    </font>
    <font>
      <b/>
      <u/>
      <sz val="11"/>
      <color theme="1"/>
      <name val="Calibri"/>
      <family val="2"/>
      <scheme val="minor"/>
    </font>
    <font>
      <sz val="10"/>
      <color theme="3" tint="0.39997558519241921"/>
      <name val="Trebuchet MS"/>
      <family val="2"/>
    </font>
    <font>
      <b/>
      <sz val="10"/>
      <color rgb="FFFF0000"/>
      <name val="Trebuchet MS"/>
      <family val="2"/>
    </font>
    <font>
      <u/>
      <sz val="10"/>
      <color theme="1"/>
      <name val="Trebuchet MS"/>
      <family val="2"/>
    </font>
    <font>
      <b/>
      <sz val="9"/>
      <color theme="1"/>
      <name val="Trebuchet MS"/>
      <family val="2"/>
    </font>
    <font>
      <u/>
      <sz val="9"/>
      <color theme="1"/>
      <name val="Trebuchet MS"/>
      <family val="2"/>
    </font>
    <font>
      <u/>
      <sz val="10"/>
      <name val="Trebuchet MS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3" tint="0.39997558519241921"/>
      <name val="Trebuchet MS"/>
      <family val="2"/>
    </font>
    <font>
      <i/>
      <u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9"/>
      <color theme="1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b/>
      <sz val="9"/>
      <color theme="1"/>
      <name val="Roboto"/>
    </font>
    <font>
      <sz val="10"/>
      <color rgb="FF00B0F0"/>
      <name val="Trebuchet MS"/>
      <family val="2"/>
    </font>
    <font>
      <sz val="10"/>
      <color rgb="FF0070C0"/>
      <name val="Trebuchet M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Roboto"/>
    </font>
    <font>
      <sz val="12"/>
      <name val="Roboto"/>
    </font>
    <font>
      <sz val="10"/>
      <color theme="2" tint="-0.499984740745262"/>
      <name val="Trebuchet MS"/>
      <family val="2"/>
    </font>
    <font>
      <sz val="10"/>
      <color rgb="FFFF0000"/>
      <name val="Trebuchet MS"/>
      <family val="2"/>
    </font>
  </fonts>
  <fills count="6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gray0625">
        <f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12"/>
      </patternFill>
    </fill>
    <fill>
      <patternFill patternType="solid">
        <fgColor indexed="43"/>
        <bgColor indexed="64"/>
      </patternFill>
    </fill>
    <fill>
      <patternFill patternType="solid">
        <fgColor indexed="48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22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gray0625">
        <fgColor indexed="22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lightGray"/>
    </fill>
    <fill>
      <patternFill patternType="solid">
        <fgColor indexed="9"/>
      </patternFill>
    </fill>
    <fill>
      <patternFill patternType="solid">
        <fgColor indexed="16"/>
        <bgColor indexed="64"/>
      </patternFill>
    </fill>
    <fill>
      <patternFill patternType="solid">
        <fgColor indexed="1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18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3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4" fontId="11" fillId="0" borderId="0" applyBorder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5" fontId="12" fillId="0" borderId="0" applyFont="0" applyFill="0" applyBorder="0" applyAlignment="0" applyProtection="0">
      <protection locked="0"/>
    </xf>
    <xf numFmtId="0" fontId="6" fillId="0" borderId="0"/>
    <xf numFmtId="0" fontId="7" fillId="0" borderId="0"/>
    <xf numFmtId="167" fontId="8" fillId="0" borderId="0" applyFont="0" applyFill="0" applyBorder="0" applyAlignment="0" applyProtection="0"/>
    <xf numFmtId="0" fontId="9" fillId="0" borderId="0" applyNumberFormat="0" applyFill="0" applyBorder="0" applyAlignment="0" applyProtection="0">
      <protection locked="0"/>
    </xf>
    <xf numFmtId="168" fontId="13" fillId="0" borderId="0" applyNumberFormat="0" applyFill="0" applyBorder="0" applyAlignment="0" applyProtection="0">
      <protection locked="0"/>
    </xf>
    <xf numFmtId="168" fontId="10" fillId="0" borderId="0" applyNumberFormat="0" applyFill="0" applyBorder="0" applyAlignment="0" applyProtection="0">
      <protection locked="0"/>
    </xf>
    <xf numFmtId="16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" fontId="14" fillId="0" borderId="0" applyFill="0" applyBorder="0"/>
    <xf numFmtId="164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69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6" fillId="0" borderId="0"/>
    <xf numFmtId="0" fontId="2" fillId="0" borderId="0"/>
    <xf numFmtId="9" fontId="17" fillId="0" borderId="0" applyFon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1" fillId="0" borderId="0"/>
    <xf numFmtId="0" fontId="6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31" fillId="0" borderId="0"/>
    <xf numFmtId="0" fontId="6" fillId="0" borderId="0"/>
    <xf numFmtId="0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ont="0" applyFill="0" applyBorder="0" applyAlignment="0" applyProtection="0"/>
    <xf numFmtId="0" fontId="6" fillId="0" borderId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/>
    <xf numFmtId="0" fontId="36" fillId="0" borderId="0"/>
    <xf numFmtId="0" fontId="8" fillId="0" borderId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5" fillId="0" borderId="0">
      <protection locked="0"/>
    </xf>
    <xf numFmtId="165" fontId="6" fillId="0" borderId="0" applyNumberFormat="0" applyFill="0" applyBorder="0" applyAlignment="0"/>
    <xf numFmtId="188" fontId="6" fillId="0" borderId="0" applyFill="0" applyBorder="0" applyProtection="0">
      <alignment horizontal="right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37" fillId="10" borderId="0">
      <alignment horizontal="left"/>
    </xf>
    <xf numFmtId="189" fontId="38" fillId="0" borderId="0" applyFont="0" applyFill="0" applyBorder="0" applyAlignment="0" applyProtection="0"/>
    <xf numFmtId="190" fontId="39" fillId="0" borderId="0" applyFont="0" applyFill="0" applyBorder="0" applyAlignment="0" applyProtection="0"/>
    <xf numFmtId="0" fontId="40" fillId="0" borderId="0">
      <alignment horizontal="center" wrapText="1"/>
      <protection locked="0"/>
    </xf>
    <xf numFmtId="0" fontId="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5" applyNumberFormat="0" applyFill="0" applyAlignment="0" applyProtection="0"/>
    <xf numFmtId="191" fontId="43" fillId="11" borderId="0" applyNumberFormat="0" applyFill="0" applyBorder="0" applyAlignment="0" applyProtection="0">
      <alignment horizontal="right"/>
    </xf>
    <xf numFmtId="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/>
    <xf numFmtId="194" fontId="40" fillId="0" borderId="0" applyFill="0" applyBorder="0" applyAlignment="0" applyProtection="0">
      <protection locked="0"/>
    </xf>
    <xf numFmtId="0" fontId="44" fillId="12" borderId="0"/>
    <xf numFmtId="181" fontId="38" fillId="0" borderId="0" applyNumberFormat="0" applyFont="0" applyAlignment="0" applyProtection="0"/>
    <xf numFmtId="0" fontId="23" fillId="13" borderId="0" applyNumberFormat="0" applyBorder="0">
      <alignment horizontal="center" vertical="center"/>
    </xf>
    <xf numFmtId="0" fontId="45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6" fillId="0" borderId="0"/>
    <xf numFmtId="39" fontId="47" fillId="0" borderId="6" applyNumberFormat="0" applyFill="0" applyBorder="0"/>
    <xf numFmtId="194" fontId="40" fillId="0" borderId="0" applyFont="0" applyFill="0" applyBorder="0" applyAlignment="0" applyProtection="0">
      <protection locked="0"/>
    </xf>
    <xf numFmtId="0" fontId="48" fillId="0" borderId="0"/>
    <xf numFmtId="1" fontId="49" fillId="0" borderId="0"/>
    <xf numFmtId="195" fontId="50" fillId="0" borderId="0" applyNumberFormat="0" applyAlignment="0">
      <alignment vertical="center"/>
    </xf>
    <xf numFmtId="0" fontId="51" fillId="0" borderId="0">
      <alignment horizontal="center" wrapText="1"/>
      <protection hidden="1"/>
    </xf>
    <xf numFmtId="0" fontId="52" fillId="14" borderId="7" applyNumberFormat="0" applyProtection="0">
      <alignment horizontal="center" vertical="center" wrapText="1"/>
    </xf>
    <xf numFmtId="0" fontId="52" fillId="14" borderId="0" applyNumberFormat="0" applyBorder="0" applyProtection="0">
      <alignment horizontal="centerContinuous" vertical="center"/>
    </xf>
    <xf numFmtId="0" fontId="52" fillId="14" borderId="4" applyNumberFormat="0" applyBorder="0" applyProtection="0">
      <alignment horizontal="center" vertical="center" wrapText="1"/>
    </xf>
    <xf numFmtId="0" fontId="26" fillId="15" borderId="0" applyNumberFormat="0">
      <alignment horizontal="center" vertical="top" wrapText="1"/>
    </xf>
    <xf numFmtId="0" fontId="26" fillId="15" borderId="0" applyNumberFormat="0">
      <alignment horizontal="left" vertical="top" wrapText="1"/>
    </xf>
    <xf numFmtId="0" fontId="26" fillId="15" borderId="0" applyNumberFormat="0">
      <alignment horizontal="centerContinuous" vertical="top"/>
    </xf>
    <xf numFmtId="0" fontId="24" fillId="15" borderId="0" applyNumberFormat="0">
      <alignment horizontal="center" vertical="top" wrapText="1"/>
    </xf>
    <xf numFmtId="0" fontId="26" fillId="16" borderId="0" applyNumberFormat="0">
      <alignment horizontal="center" vertical="top" wrapText="1"/>
    </xf>
    <xf numFmtId="0" fontId="38" fillId="0" borderId="8" applyNumberFormat="0" applyFont="0" applyFill="0" applyAlignment="0" applyProtection="0">
      <alignment horizontal="left"/>
    </xf>
    <xf numFmtId="179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right"/>
    </xf>
    <xf numFmtId="192" fontId="8" fillId="0" borderId="0" applyFont="0" applyFill="0" applyBorder="0" applyAlignment="0" applyProtection="0"/>
    <xf numFmtId="0" fontId="55" fillId="0" borderId="0" applyFont="0" applyFill="0" applyBorder="0" applyAlignment="0" applyProtection="0"/>
    <xf numFmtId="181" fontId="31" fillId="0" borderId="0"/>
    <xf numFmtId="3" fontId="56" fillId="0" borderId="0" applyFont="0" applyFill="0" applyBorder="0" applyAlignment="0" applyProtection="0"/>
    <xf numFmtId="0" fontId="57" fillId="17" borderId="0">
      <alignment horizontal="center" vertical="center" wrapText="1"/>
    </xf>
    <xf numFmtId="0" fontId="6" fillId="0" borderId="0">
      <alignment horizontal="left"/>
    </xf>
    <xf numFmtId="0" fontId="6" fillId="0" borderId="0"/>
    <xf numFmtId="0" fontId="6" fillId="0" borderId="0">
      <alignment horizontal="left"/>
    </xf>
    <xf numFmtId="196" fontId="51" fillId="0" borderId="0" applyFill="0" applyBorder="0">
      <alignment horizontal="right"/>
      <protection locked="0"/>
    </xf>
    <xf numFmtId="197" fontId="7" fillId="0" borderId="0" applyFont="0"/>
    <xf numFmtId="198" fontId="24" fillId="0" borderId="0" applyFont="0" applyFill="0" applyBorder="0" applyAlignment="0" applyProtection="0">
      <alignment vertical="center"/>
    </xf>
    <xf numFmtId="199" fontId="7" fillId="0" borderId="0" applyFont="0"/>
    <xf numFmtId="200" fontId="6" fillId="0" borderId="0"/>
    <xf numFmtId="0" fontId="54" fillId="0" borderId="0" applyFont="0" applyFill="0" applyBorder="0" applyAlignment="0" applyProtection="0">
      <alignment horizontal="right"/>
    </xf>
    <xf numFmtId="0" fontId="54" fillId="0" borderId="0" applyFont="0" applyFill="0" applyBorder="0" applyAlignment="0" applyProtection="0">
      <alignment horizontal="right"/>
    </xf>
    <xf numFmtId="201" fontId="24" fillId="0" borderId="0" applyFont="0" applyFill="0" applyBorder="0" applyAlignment="0" applyProtection="0">
      <alignment vertical="center"/>
    </xf>
    <xf numFmtId="202" fontId="24" fillId="0" borderId="0" applyFont="0" applyFill="0" applyBorder="0" applyAlignment="0" applyProtection="0">
      <alignment vertical="center"/>
    </xf>
    <xf numFmtId="203" fontId="24" fillId="0" borderId="0" applyFont="0" applyFill="0" applyBorder="0" applyAlignment="0" applyProtection="0">
      <alignment vertical="center"/>
    </xf>
    <xf numFmtId="204" fontId="24" fillId="0" borderId="0" applyFont="0" applyFill="0" applyBorder="0" applyAlignment="0" applyProtection="0">
      <alignment vertical="center"/>
    </xf>
    <xf numFmtId="205" fontId="24" fillId="0" borderId="0" applyFont="0" applyFill="0" applyBorder="0" applyAlignment="0" applyProtection="0">
      <alignment vertical="center"/>
    </xf>
    <xf numFmtId="206" fontId="24" fillId="0" borderId="0" applyFont="0" applyFill="0" applyBorder="0" applyAlignment="0" applyProtection="0">
      <alignment vertical="center"/>
    </xf>
    <xf numFmtId="207" fontId="24" fillId="0" borderId="0" applyFont="0" applyFill="0" applyBorder="0" applyAlignment="0" applyProtection="0">
      <alignment vertical="center"/>
    </xf>
    <xf numFmtId="208" fontId="24" fillId="0" borderId="0" applyFont="0" applyFill="0" applyBorder="0" applyAlignment="0" applyProtection="0">
      <alignment vertical="center"/>
    </xf>
    <xf numFmtId="209" fontId="24" fillId="0" borderId="0" applyFont="0" applyFill="0" applyBorder="0" applyAlignment="0" applyProtection="0">
      <alignment vertical="center"/>
    </xf>
    <xf numFmtId="210" fontId="24" fillId="0" borderId="0" applyFont="0" applyFill="0" applyBorder="0" applyAlignment="0" applyProtection="0">
      <alignment vertical="center"/>
    </xf>
    <xf numFmtId="211" fontId="24" fillId="0" borderId="0" applyFont="0" applyFill="0" applyBorder="0" applyAlignment="0" applyProtection="0">
      <alignment vertical="center"/>
    </xf>
    <xf numFmtId="212" fontId="24" fillId="0" borderId="0" applyFont="0" applyFill="0" applyBorder="0" applyAlignment="0" applyProtection="0">
      <alignment vertical="center"/>
    </xf>
    <xf numFmtId="213" fontId="6" fillId="0" borderId="0" applyFont="0" applyFill="0" applyBorder="0" applyAlignment="0" applyProtection="0"/>
    <xf numFmtId="214" fontId="24" fillId="0" borderId="0" applyFont="0" applyFill="0" applyBorder="0" applyAlignment="0" applyProtection="0">
      <alignment vertical="center"/>
    </xf>
    <xf numFmtId="215" fontId="24" fillId="0" borderId="0" applyFont="0" applyFill="0" applyBorder="0" applyAlignment="0" applyProtection="0">
      <alignment vertical="center"/>
    </xf>
    <xf numFmtId="15" fontId="58" fillId="0" borderId="0" applyFill="0" applyBorder="0" applyAlignment="0"/>
    <xf numFmtId="0" fontId="58" fillId="10" borderId="0" applyFont="0" applyFill="0" applyBorder="0" applyAlignment="0" applyProtection="0"/>
    <xf numFmtId="216" fontId="6" fillId="10" borderId="9" applyFont="0" applyFill="0" applyBorder="0" applyAlignment="0" applyProtection="0"/>
    <xf numFmtId="217" fontId="6" fillId="10" borderId="0" applyFont="0" applyFill="0" applyBorder="0" applyAlignment="0" applyProtection="0"/>
    <xf numFmtId="17" fontId="58" fillId="0" borderId="0" applyFill="0" applyBorder="0">
      <alignment horizontal="right"/>
    </xf>
    <xf numFmtId="176" fontId="6" fillId="0" borderId="1" applyFont="0" applyFill="0" applyBorder="0" applyAlignment="0" applyProtection="0"/>
    <xf numFmtId="0" fontId="54" fillId="0" borderId="0" applyFont="0" applyFill="0" applyBorder="0" applyAlignment="0" applyProtection="0"/>
    <xf numFmtId="0" fontId="6" fillId="0" borderId="0">
      <alignment horizontal="right"/>
      <protection locked="0"/>
    </xf>
    <xf numFmtId="217" fontId="6" fillId="0" borderId="0" applyFill="0" applyBorder="0">
      <alignment horizontal="right"/>
    </xf>
    <xf numFmtId="14" fontId="59" fillId="0" borderId="0" applyFont="0" applyFill="0" applyBorder="0" applyAlignment="0" applyProtection="0">
      <alignment horizontal="center"/>
    </xf>
    <xf numFmtId="218" fontId="59" fillId="0" borderId="0" applyFont="0" applyFill="0" applyBorder="0" applyAlignment="0" applyProtection="0">
      <alignment horizontal="center"/>
    </xf>
    <xf numFmtId="219" fontId="60" fillId="0" borderId="6" applyNumberFormat="0" applyFill="0" applyBorder="0" applyAlignment="0">
      <alignment horizontal="left"/>
      <protection locked="0"/>
    </xf>
    <xf numFmtId="220" fontId="38" fillId="0" borderId="0" applyFont="0" applyFill="0" applyBorder="0" applyAlignment="0" applyProtection="0"/>
    <xf numFmtId="0" fontId="61" fillId="0" borderId="0">
      <protection locked="0"/>
    </xf>
    <xf numFmtId="174" fontId="40" fillId="0" borderId="0" applyFont="0" applyFill="0" applyBorder="0" applyAlignment="0" applyProtection="0"/>
    <xf numFmtId="0" fontId="31" fillId="0" borderId="0"/>
    <xf numFmtId="221" fontId="40" fillId="0" borderId="0" applyFont="0" applyFill="0" applyBorder="0" applyAlignment="0" applyProtection="0"/>
    <xf numFmtId="0" fontId="54" fillId="0" borderId="10" applyNumberFormat="0" applyFont="0" applyFill="0" applyAlignment="0" applyProtection="0"/>
    <xf numFmtId="0" fontId="62" fillId="0" borderId="0" applyFill="0" applyBorder="0" applyAlignment="0" applyProtection="0"/>
    <xf numFmtId="164" fontId="63" fillId="0" borderId="11" applyNumberFormat="0" applyAlignment="0" applyProtection="0">
      <alignment vertical="top"/>
    </xf>
    <xf numFmtId="0" fontId="31" fillId="18" borderId="0" applyNumberFormat="0" applyFont="0" applyBorder="0" applyAlignment="0" applyProtection="0"/>
    <xf numFmtId="164" fontId="64" fillId="0" borderId="0" applyNumberFormat="0"/>
    <xf numFmtId="222" fontId="38" fillId="0" borderId="0" applyFont="0" applyFill="0" applyBorder="0" applyAlignment="0"/>
    <xf numFmtId="174" fontId="40" fillId="0" borderId="0" applyFont="0" applyFill="0" applyBorder="0" applyAlignment="0" applyProtection="0">
      <alignment horizontal="right"/>
    </xf>
    <xf numFmtId="223" fontId="38" fillId="0" borderId="0" applyFont="0" applyFill="0" applyBorder="0" applyProtection="0">
      <alignment horizontal="left"/>
      <protection locked="0"/>
    </xf>
    <xf numFmtId="224" fontId="38" fillId="0" borderId="0" applyFont="0" applyFill="0" applyBorder="0" applyProtection="0">
      <alignment horizontal="left"/>
      <protection locked="0"/>
    </xf>
    <xf numFmtId="0" fontId="65" fillId="0" borderId="0"/>
    <xf numFmtId="0" fontId="65" fillId="0" borderId="0"/>
    <xf numFmtId="0" fontId="65" fillId="0" borderId="0"/>
    <xf numFmtId="167" fontId="8" fillId="0" borderId="0" applyFont="0" applyFill="0" applyBorder="0" applyAlignment="0" applyProtection="0"/>
    <xf numFmtId="225" fontId="38" fillId="11" borderId="0">
      <alignment horizontal="right"/>
    </xf>
    <xf numFmtId="0" fontId="66" fillId="0" borderId="0"/>
    <xf numFmtId="3" fontId="67" fillId="0" borderId="0" applyNumberFormat="0" applyFont="0" applyFill="0" applyBorder="0" applyAlignment="0" applyProtection="0">
      <alignment horizontal="left"/>
    </xf>
    <xf numFmtId="0" fontId="68" fillId="19" borderId="0"/>
    <xf numFmtId="2" fontId="56" fillId="0" borderId="0" applyFont="0" applyFill="0" applyBorder="0" applyAlignment="0" applyProtection="0"/>
    <xf numFmtId="0" fontId="6" fillId="10" borderId="0" applyFont="0" applyFill="0" applyBorder="0" applyAlignment="0"/>
    <xf numFmtId="0" fontId="31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6" fillId="0" borderId="0">
      <alignment horizontal="left"/>
    </xf>
    <xf numFmtId="0" fontId="6" fillId="0" borderId="0">
      <alignment horizontal="left"/>
    </xf>
    <xf numFmtId="0" fontId="6" fillId="0" borderId="0" applyFill="0" applyBorder="0" applyProtection="0">
      <alignment horizontal="left"/>
    </xf>
    <xf numFmtId="0" fontId="6" fillId="0" borderId="0">
      <alignment horizontal="left"/>
    </xf>
    <xf numFmtId="0" fontId="6" fillId="0" borderId="0">
      <alignment horizontal="left"/>
    </xf>
    <xf numFmtId="0" fontId="31" fillId="0" borderId="0"/>
    <xf numFmtId="226" fontId="40" fillId="0" borderId="0" applyFill="0" applyBorder="0" applyAlignment="0" applyProtection="0">
      <protection locked="0"/>
    </xf>
    <xf numFmtId="38" fontId="31" fillId="20" borderId="0" applyNumberFormat="0" applyFont="0" applyBorder="0" applyAlignment="0">
      <protection hidden="1"/>
    </xf>
    <xf numFmtId="227" fontId="70" fillId="0" borderId="0" applyFill="0" applyBorder="0" applyAlignment="0" applyProtection="0"/>
    <xf numFmtId="227" fontId="71" fillId="0" borderId="0" applyAlignment="0">
      <alignment horizontal="left"/>
      <protection locked="0"/>
    </xf>
    <xf numFmtId="0" fontId="72" fillId="15" borderId="0" applyNumberFormat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horizontal="left"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/>
    <xf numFmtId="228" fontId="76" fillId="0" borderId="0" applyNumberFormat="0" applyFill="0" applyBorder="0" applyAlignment="0" applyProtection="0"/>
    <xf numFmtId="2" fontId="77" fillId="21" borderId="0"/>
    <xf numFmtId="229" fontId="58" fillId="10" borderId="4" applyNumberFormat="0" applyFont="0" applyAlignment="0"/>
    <xf numFmtId="0" fontId="54" fillId="0" borderId="0" applyFont="0" applyFill="0" applyBorder="0" applyAlignment="0" applyProtection="0">
      <alignment horizontal="right"/>
    </xf>
    <xf numFmtId="0" fontId="6" fillId="1" borderId="0" applyNumberFormat="0" applyBorder="0" applyProtection="0">
      <alignment horizontal="left" vertical="center"/>
    </xf>
    <xf numFmtId="0" fontId="6" fillId="0" borderId="0" applyProtection="0">
      <alignment horizontal="right"/>
    </xf>
    <xf numFmtId="0" fontId="6" fillId="0" borderId="0">
      <alignment horizontal="left"/>
    </xf>
    <xf numFmtId="0" fontId="78" fillId="22" borderId="0">
      <alignment horizontal="left"/>
    </xf>
    <xf numFmtId="0" fontId="6" fillId="23" borderId="0"/>
    <xf numFmtId="0" fontId="6" fillId="0" borderId="0">
      <alignment horizontal="left"/>
    </xf>
    <xf numFmtId="0" fontId="6" fillId="0" borderId="6">
      <alignment horizontal="left" vertical="top"/>
    </xf>
    <xf numFmtId="0" fontId="6" fillId="0" borderId="0">
      <alignment horizontal="left"/>
    </xf>
    <xf numFmtId="0" fontId="6" fillId="0" borderId="6">
      <alignment horizontal="left" vertical="top"/>
    </xf>
    <xf numFmtId="0" fontId="6" fillId="0" borderId="0">
      <alignment horizontal="left"/>
    </xf>
    <xf numFmtId="0" fontId="79" fillId="0" borderId="0"/>
    <xf numFmtId="0" fontId="80" fillId="0" borderId="0">
      <alignment wrapText="1"/>
    </xf>
    <xf numFmtId="0" fontId="24" fillId="2" borderId="0" applyNumberFormat="0" applyFont="0" applyBorder="0" applyAlignment="0" applyProtection="0">
      <alignment vertical="center"/>
    </xf>
    <xf numFmtId="230" fontId="81" fillId="0" borderId="0" applyNumberFormat="0" applyFill="0" applyBorder="0" applyAlignment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226" fontId="40" fillId="0" borderId="0" applyFill="0" applyBorder="0" applyAlignment="0" applyProtection="0">
      <alignment horizontal="right"/>
      <protection locked="0"/>
    </xf>
    <xf numFmtId="0" fontId="54" fillId="0" borderId="0" applyNumberFormat="0" applyFill="0" applyBorder="0" applyAlignment="0" applyProtection="0"/>
    <xf numFmtId="10" fontId="31" fillId="10" borderId="4" applyNumberFormat="0" applyBorder="0" applyAlignment="0" applyProtection="0"/>
    <xf numFmtId="0" fontId="24" fillId="0" borderId="12" applyNumberFormat="0" applyAlignment="0">
      <alignment vertical="center"/>
    </xf>
    <xf numFmtId="181" fontId="84" fillId="24" borderId="0"/>
    <xf numFmtId="174" fontId="31" fillId="0" borderId="0"/>
    <xf numFmtId="0" fontId="24" fillId="0" borderId="13" applyNumberFormat="0" applyAlignment="0">
      <alignment vertical="center"/>
      <protection locked="0"/>
    </xf>
    <xf numFmtId="217" fontId="6" fillId="10" borderId="0" applyFont="0" applyBorder="0" applyAlignment="0" applyProtection="0">
      <protection locked="0"/>
    </xf>
    <xf numFmtId="231" fontId="24" fillId="25" borderId="13" applyNumberFormat="0" applyAlignment="0">
      <alignment vertical="center"/>
      <protection locked="0"/>
    </xf>
    <xf numFmtId="0" fontId="31" fillId="10" borderId="0" applyFont="0" applyBorder="0" applyAlignment="0">
      <protection locked="0"/>
    </xf>
    <xf numFmtId="0" fontId="24" fillId="15" borderId="0" applyNumberFormat="0" applyAlignment="0">
      <alignment vertical="center"/>
    </xf>
    <xf numFmtId="0" fontId="24" fillId="26" borderId="0" applyNumberFormat="0" applyAlignment="0">
      <alignment vertical="center"/>
    </xf>
    <xf numFmtId="0" fontId="77" fillId="0" borderId="0" applyNumberFormat="0" applyFill="0" applyBorder="0" applyAlignment="0" applyProtection="0"/>
    <xf numFmtId="226" fontId="31" fillId="10" borderId="0">
      <protection locked="0"/>
    </xf>
    <xf numFmtId="0" fontId="24" fillId="0" borderId="14" applyNumberFormat="0" applyAlignment="0">
      <alignment vertical="center"/>
      <protection locked="0"/>
    </xf>
    <xf numFmtId="168" fontId="6" fillId="10" borderId="0" applyFont="0" applyBorder="0" applyAlignment="0">
      <protection locked="0"/>
    </xf>
    <xf numFmtId="10" fontId="31" fillId="10" borderId="0">
      <protection locked="0"/>
    </xf>
    <xf numFmtId="0" fontId="31" fillId="10" borderId="0" applyFont="0" applyBorder="0" applyAlignment="0">
      <protection locked="0"/>
    </xf>
    <xf numFmtId="226" fontId="85" fillId="10" borderId="0" applyNumberFormat="0" applyBorder="0" applyAlignment="0">
      <protection locked="0"/>
    </xf>
    <xf numFmtId="10" fontId="6" fillId="0" borderId="0">
      <protection locked="0"/>
    </xf>
    <xf numFmtId="0" fontId="6" fillId="10" borderId="4"/>
    <xf numFmtId="0" fontId="6" fillId="10" borderId="4"/>
    <xf numFmtId="0" fontId="61" fillId="0" borderId="0" applyNumberFormat="0" applyFill="0" applyBorder="0" applyAlignment="0">
      <protection locked="0"/>
    </xf>
    <xf numFmtId="15" fontId="6" fillId="0" borderId="0">
      <protection locked="0"/>
    </xf>
    <xf numFmtId="2" fontId="6" fillId="0" borderId="15">
      <protection locked="0"/>
    </xf>
    <xf numFmtId="0" fontId="6" fillId="0" borderId="0">
      <protection locked="0"/>
    </xf>
    <xf numFmtId="0" fontId="51" fillId="0" borderId="0" applyFill="0" applyBorder="0">
      <alignment horizontal="right"/>
      <protection locked="0"/>
    </xf>
    <xf numFmtId="232" fontId="51" fillId="0" borderId="0" applyFill="0" applyBorder="0">
      <alignment horizontal="right"/>
      <protection locked="0"/>
    </xf>
    <xf numFmtId="233" fontId="41" fillId="27" borderId="0" applyBorder="0"/>
    <xf numFmtId="0" fontId="34" fillId="28" borderId="16">
      <alignment horizontal="left" vertical="center" wrapText="1"/>
    </xf>
    <xf numFmtId="4" fontId="77" fillId="21" borderId="0"/>
    <xf numFmtId="1" fontId="86" fillId="1" borderId="17">
      <protection locked="0"/>
    </xf>
    <xf numFmtId="191" fontId="48" fillId="0" borderId="1" applyNumberFormat="0" applyFill="0">
      <alignment vertical="center"/>
    </xf>
    <xf numFmtId="1" fontId="87" fillId="0" borderId="0" applyNumberFormat="0" applyFill="0" applyBorder="0" applyAlignment="0" applyProtection="0">
      <alignment horizontal="right"/>
    </xf>
    <xf numFmtId="181" fontId="6" fillId="29" borderId="0"/>
    <xf numFmtId="181" fontId="88" fillId="0" borderId="0" applyNumberFormat="0" applyFont="0" applyFill="0" applyBorder="0" applyAlignment="0">
      <protection hidden="1"/>
    </xf>
    <xf numFmtId="0" fontId="89" fillId="0" borderId="0" applyNumberFormat="0" applyFill="0" applyBorder="0" applyProtection="0">
      <alignment horizontal="left" vertical="center"/>
    </xf>
    <xf numFmtId="0" fontId="90" fillId="0" borderId="0"/>
    <xf numFmtId="234" fontId="41" fillId="27" borderId="0" applyBorder="0" applyAlignment="0">
      <alignment horizontal="right"/>
    </xf>
    <xf numFmtId="235" fontId="91" fillId="0" borderId="0" applyFill="0" applyBorder="0" applyAlignment="0" applyProtection="0"/>
    <xf numFmtId="0" fontId="68" fillId="0" borderId="0"/>
    <xf numFmtId="0" fontId="92" fillId="0" borderId="0"/>
    <xf numFmtId="0" fontId="93" fillId="0" borderId="0"/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236" fontId="55" fillId="0" borderId="0" applyFont="0" applyFill="0" applyBorder="0" applyAlignment="0" applyProtection="0"/>
    <xf numFmtId="237" fontId="38" fillId="0" borderId="0" applyFont="0" applyFill="0" applyBorder="0" applyAlignment="0" applyProtection="0"/>
    <xf numFmtId="238" fontId="55" fillId="0" borderId="0" applyFont="0" applyFill="0" applyBorder="0" applyAlignment="0" applyProtection="0"/>
    <xf numFmtId="164" fontId="6" fillId="0" borderId="0"/>
    <xf numFmtId="0" fontId="6" fillId="0" borderId="7"/>
    <xf numFmtId="0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239" fontId="55" fillId="0" borderId="0" applyFont="0" applyFill="0" applyBorder="0" applyAlignment="0" applyProtection="0"/>
    <xf numFmtId="240" fontId="6" fillId="0" borderId="0" applyFont="0" applyFill="0" applyBorder="0" applyAlignment="0"/>
    <xf numFmtId="241" fontId="55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right"/>
    </xf>
    <xf numFmtId="165" fontId="6" fillId="20" borderId="0" applyFont="0" applyBorder="0" applyAlignment="0" applyProtection="0">
      <alignment horizontal="right"/>
      <protection hidden="1"/>
    </xf>
    <xf numFmtId="0" fontId="94" fillId="0" borderId="0" applyNumberFormat="0" applyAlignment="0">
      <alignment vertical="center"/>
    </xf>
    <xf numFmtId="0" fontId="61" fillId="0" borderId="18" applyBorder="0" applyAlignment="0" applyProtection="0">
      <alignment horizontal="center"/>
    </xf>
    <xf numFmtId="37" fontId="95" fillId="0" borderId="0"/>
    <xf numFmtId="0" fontId="6" fillId="0" borderId="0"/>
    <xf numFmtId="38" fontId="31" fillId="0" borderId="0" applyFont="0" applyFill="0" applyBorder="0" applyAlignment="0"/>
    <xf numFmtId="226" fontId="6" fillId="0" borderId="0" applyFont="0" applyFill="0" applyBorder="0" applyAlignment="0"/>
    <xf numFmtId="40" fontId="31" fillId="0" borderId="0" applyFont="0" applyFill="0" applyBorder="0" applyAlignment="0"/>
    <xf numFmtId="242" fontId="6" fillId="0" borderId="0" applyFont="0" applyFill="0" applyBorder="0" applyAlignment="0"/>
    <xf numFmtId="226" fontId="58" fillId="0" borderId="0" applyNumberFormat="0" applyFill="0" applyBorder="0" applyAlignment="0" applyProtection="0"/>
    <xf numFmtId="0" fontId="31" fillId="0" borderId="0" applyFont="0" applyFill="0" applyBorder="0" applyAlignment="0" applyProtection="0"/>
    <xf numFmtId="228" fontId="38" fillId="0" borderId="0" applyFill="0" applyBorder="0" applyAlignment="0" applyProtection="0"/>
    <xf numFmtId="0" fontId="6" fillId="0" borderId="0"/>
    <xf numFmtId="175" fontId="6" fillId="0" borderId="0"/>
    <xf numFmtId="37" fontId="96" fillId="0" borderId="0" applyNumberFormat="0" applyFont="0" applyFill="0" applyBorder="0" applyAlignment="0" applyProtection="0"/>
    <xf numFmtId="0" fontId="97" fillId="0" borderId="15"/>
    <xf numFmtId="243" fontId="6" fillId="0" borderId="0" applyFont="0" applyFill="0" applyBorder="0" applyAlignment="0" applyProtection="0"/>
    <xf numFmtId="231" fontId="24" fillId="0" borderId="0" applyFont="0" applyFill="0" applyBorder="0" applyAlignment="0" applyProtection="0">
      <alignment vertical="center"/>
    </xf>
    <xf numFmtId="195" fontId="24" fillId="0" borderId="0" applyFont="0" applyFill="0" applyBorder="0" applyAlignment="0" applyProtection="0">
      <alignment vertical="center"/>
    </xf>
    <xf numFmtId="38" fontId="38" fillId="0" borderId="19" applyFont="0" applyFill="0" applyBorder="0" applyAlignment="0" applyProtection="0"/>
    <xf numFmtId="244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245" fontId="98" fillId="30" borderId="6" applyFont="0" applyBorder="0"/>
    <xf numFmtId="165" fontId="99" fillId="0" borderId="0"/>
    <xf numFmtId="0" fontId="6" fillId="0" borderId="4">
      <alignment vertical="center" wrapText="1"/>
    </xf>
    <xf numFmtId="0" fontId="6" fillId="0" borderId="0">
      <alignment horizontal="left"/>
    </xf>
    <xf numFmtId="0" fontId="93" fillId="0" borderId="0"/>
    <xf numFmtId="0" fontId="52" fillId="0" borderId="20" applyNumberFormat="0" applyAlignment="0" applyProtection="0"/>
    <xf numFmtId="0" fontId="38" fillId="15" borderId="0" applyNumberFormat="0" applyFont="0" applyBorder="0" applyAlignment="0" applyProtection="0"/>
    <xf numFmtId="0" fontId="31" fillId="16" borderId="15" applyNumberFormat="0" applyFont="0" applyBorder="0" applyAlignment="0" applyProtection="0">
      <alignment horizontal="center"/>
    </xf>
    <xf numFmtId="0" fontId="31" fillId="3" borderId="15" applyNumberFormat="0" applyFont="0" applyBorder="0" applyAlignment="0" applyProtection="0">
      <alignment horizontal="center"/>
    </xf>
    <xf numFmtId="0" fontId="38" fillId="0" borderId="21" applyNumberFormat="0" applyAlignment="0" applyProtection="0"/>
    <xf numFmtId="0" fontId="38" fillId="0" borderId="22" applyNumberFormat="0" applyAlignment="0" applyProtection="0"/>
    <xf numFmtId="0" fontId="52" fillId="0" borderId="23" applyNumberFormat="0" applyAlignment="0" applyProtection="0"/>
    <xf numFmtId="0" fontId="61" fillId="0" borderId="1">
      <alignment vertical="center"/>
    </xf>
    <xf numFmtId="0" fontId="31" fillId="0" borderId="0"/>
    <xf numFmtId="164" fontId="100" fillId="0" borderId="0" applyFill="0" applyBorder="0" applyProtection="0">
      <alignment vertical="top"/>
    </xf>
    <xf numFmtId="14" fontId="40" fillId="0" borderId="0">
      <alignment horizontal="center" wrapText="1"/>
      <protection locked="0"/>
    </xf>
    <xf numFmtId="0" fontId="51" fillId="0" borderId="0" applyFont="0" applyFill="0" applyBorder="0" applyAlignment="0" applyProtection="0"/>
    <xf numFmtId="0" fontId="6" fillId="0" borderId="0" applyFont="0" applyFill="0" applyBorder="0" applyAlignment="0"/>
    <xf numFmtId="168" fontId="6" fillId="0" borderId="0" applyFont="0" applyFill="0" applyBorder="0" applyAlignment="0"/>
    <xf numFmtId="246" fontId="6" fillId="18" borderId="0" applyFont="0" applyFill="0" applyBorder="0" applyAlignment="0" applyProtection="0"/>
    <xf numFmtId="9" fontId="38" fillId="0" borderId="0"/>
    <xf numFmtId="10" fontId="38" fillId="0" borderId="0"/>
    <xf numFmtId="9" fontId="38" fillId="0" borderId="0"/>
    <xf numFmtId="247" fontId="24" fillId="0" borderId="0" applyFont="0" applyFill="0" applyBorder="0" applyAlignment="0" applyProtection="0">
      <alignment horizontal="right" vertical="center"/>
    </xf>
    <xf numFmtId="248" fontId="24" fillId="0" borderId="0" applyFont="0" applyFill="0" applyBorder="0" applyAlignment="0" applyProtection="0">
      <alignment vertical="center"/>
    </xf>
    <xf numFmtId="249" fontId="38" fillId="0" borderId="0" applyFont="0" applyFill="0" applyBorder="0" applyAlignment="0" applyProtection="0"/>
    <xf numFmtId="250" fontId="51" fillId="0" borderId="0" applyFill="0" applyBorder="0">
      <alignment horizontal="right"/>
      <protection locked="0"/>
    </xf>
    <xf numFmtId="227" fontId="40" fillId="0" borderId="0" applyFont="0" applyFill="0" applyBorder="0" applyAlignment="0" applyProtection="0"/>
    <xf numFmtId="187" fontId="6" fillId="0" borderId="0" applyFont="0" applyFill="0" applyBorder="0" applyAlignment="0" applyProtection="0"/>
    <xf numFmtId="174" fontId="40" fillId="0" borderId="0" applyFont="0" applyFill="0" applyBorder="0" applyAlignment="0" applyProtection="0"/>
    <xf numFmtId="226" fontId="40" fillId="0" borderId="0" applyFont="0" applyFill="0" applyBorder="0" applyAlignment="0" applyProtection="0">
      <protection locked="0"/>
    </xf>
    <xf numFmtId="235" fontId="97" fillId="0" borderId="0" applyFill="0" applyBorder="0" applyAlignment="0" applyProtection="0"/>
    <xf numFmtId="251" fontId="6" fillId="0" borderId="0" applyFont="0" applyFill="0" applyBorder="0" applyAlignment="0"/>
    <xf numFmtId="9" fontId="55" fillId="0" borderId="0" applyFont="0" applyFill="0" applyBorder="0" applyAlignment="0" applyProtection="0"/>
    <xf numFmtId="226" fontId="40" fillId="0" borderId="0" applyFill="0" applyBorder="0" applyAlignment="0" applyProtection="0"/>
    <xf numFmtId="38" fontId="40" fillId="0" borderId="0" applyFont="0" applyFill="0" applyBorder="0" applyAlignment="0" applyProtection="0"/>
    <xf numFmtId="174" fontId="101" fillId="0" borderId="24">
      <alignment horizontal="right"/>
    </xf>
    <xf numFmtId="0" fontId="6" fillId="0" borderId="0">
      <alignment horizontal="right"/>
    </xf>
    <xf numFmtId="0" fontId="6" fillId="0" borderId="0"/>
    <xf numFmtId="252" fontId="6" fillId="0" borderId="0"/>
    <xf numFmtId="253" fontId="102" fillId="0" borderId="0"/>
    <xf numFmtId="252" fontId="6" fillId="0" borderId="0"/>
    <xf numFmtId="253" fontId="102" fillId="0" borderId="0"/>
    <xf numFmtId="253" fontId="102" fillId="0" borderId="0"/>
    <xf numFmtId="252" fontId="6" fillId="0" borderId="0"/>
    <xf numFmtId="253" fontId="102" fillId="0" borderId="0"/>
    <xf numFmtId="253" fontId="102" fillId="0" borderId="0"/>
    <xf numFmtId="253" fontId="102" fillId="0" borderId="0"/>
    <xf numFmtId="252" fontId="6" fillId="0" borderId="0"/>
    <xf numFmtId="253" fontId="102" fillId="0" borderId="0"/>
    <xf numFmtId="253" fontId="102" fillId="0" borderId="0"/>
    <xf numFmtId="252" fontId="6" fillId="0" borderId="0"/>
    <xf numFmtId="253" fontId="102" fillId="0" borderId="0"/>
    <xf numFmtId="253" fontId="102" fillId="0" borderId="0"/>
    <xf numFmtId="0" fontId="6" fillId="0" borderId="0"/>
    <xf numFmtId="0" fontId="6" fillId="0" borderId="0"/>
    <xf numFmtId="0" fontId="6" fillId="0" borderId="0"/>
    <xf numFmtId="254" fontId="51" fillId="0" borderId="0">
      <alignment horizontal="right"/>
      <protection locked="0"/>
    </xf>
    <xf numFmtId="226" fontId="103" fillId="0" borderId="0" applyNumberFormat="0" applyFill="0" applyBorder="0" applyAlignment="0" applyProtection="0">
      <alignment horizontal="left"/>
    </xf>
    <xf numFmtId="226" fontId="59" fillId="0" borderId="0" applyFont="0" applyFill="0" applyBorder="0" applyAlignment="0" applyProtection="0"/>
    <xf numFmtId="0" fontId="104" fillId="0" borderId="0" applyNumberFormat="0" applyFill="0" applyBorder="0" applyProtection="0">
      <alignment horizontal="right" vertical="center"/>
    </xf>
    <xf numFmtId="0" fontId="6" fillId="0" borderId="0">
      <alignment horizontal="right"/>
    </xf>
    <xf numFmtId="0" fontId="6" fillId="0" borderId="0">
      <alignment horizontal="right"/>
    </xf>
    <xf numFmtId="0" fontId="6" fillId="0" borderId="0" applyFill="0" applyBorder="0" applyProtection="0">
      <alignment horizontal="right"/>
    </xf>
    <xf numFmtId="0" fontId="6" fillId="0" borderId="0">
      <alignment horizontal="right"/>
    </xf>
    <xf numFmtId="0" fontId="38" fillId="0" borderId="25" applyNumberFormat="0" applyFont="0" applyFill="0" applyAlignment="0" applyProtection="0"/>
    <xf numFmtId="0" fontId="52" fillId="14" borderId="26" applyNumberFormat="0" applyBorder="0" applyProtection="0">
      <alignment horizontal="left" wrapText="1"/>
    </xf>
    <xf numFmtId="0" fontId="52" fillId="14" borderId="0" applyNumberFormat="0" applyBorder="0" applyProtection="0">
      <alignment horizontal="left"/>
    </xf>
    <xf numFmtId="0" fontId="105" fillId="31" borderId="0" applyFont="0" applyFill="0" applyAlignment="0"/>
    <xf numFmtId="0" fontId="26" fillId="0" borderId="0" applyNumberFormat="0" applyFill="0" applyBorder="0">
      <alignment horizontal="left" vertical="center" wrapText="1"/>
    </xf>
    <xf numFmtId="0" fontId="24" fillId="0" borderId="0" applyNumberFormat="0" applyFill="0" applyBorder="0">
      <alignment horizontal="left" vertical="center" wrapText="1" indent="1"/>
    </xf>
    <xf numFmtId="0" fontId="31" fillId="0" borderId="0" applyNumberFormat="0" applyFont="0" applyFill="0" applyBorder="0" applyAlignment="0" applyProtection="0"/>
    <xf numFmtId="0" fontId="106" fillId="31" borderId="0" applyNumberFormat="0" applyFont="0" applyFill="0" applyBorder="0" applyAlignment="0" applyProtection="0"/>
    <xf numFmtId="0" fontId="106" fillId="31" borderId="0" applyNumberFormat="0" applyFont="0" applyFill="0" applyBorder="0" applyAlignment="0" applyProtection="0"/>
    <xf numFmtId="0" fontId="106" fillId="31" borderId="0" applyNumberFormat="0" applyFont="0" applyFill="0" applyBorder="0" applyAlignment="0" applyProtection="0"/>
    <xf numFmtId="0" fontId="38" fillId="0" borderId="27" applyNumberFormat="0" applyFont="0" applyFill="0" applyAlignment="0" applyProtection="0"/>
    <xf numFmtId="219" fontId="107" fillId="0" borderId="6" applyNumberFormat="0" applyFill="0" applyBorder="0">
      <protection locked="0"/>
    </xf>
    <xf numFmtId="0" fontId="6" fillId="0" borderId="28">
      <alignment vertical="center"/>
    </xf>
    <xf numFmtId="255" fontId="108" fillId="0" borderId="0" applyFill="0" applyBorder="0">
      <alignment horizontal="right"/>
      <protection hidden="1"/>
    </xf>
    <xf numFmtId="0" fontId="109" fillId="0" borderId="0" applyNumberFormat="0" applyFill="0" applyBorder="0" applyProtection="0">
      <alignment horizontal="left" vertical="center"/>
    </xf>
    <xf numFmtId="0" fontId="110" fillId="17" borderId="4">
      <alignment horizontal="center" vertical="center" wrapText="1"/>
      <protection hidden="1"/>
    </xf>
    <xf numFmtId="194" fontId="40" fillId="0" borderId="0" applyFill="0" applyBorder="0" applyAlignment="0" applyProtection="0">
      <protection locked="0"/>
    </xf>
    <xf numFmtId="0" fontId="46" fillId="0" borderId="0" applyFill="0" applyBorder="0" applyAlignment="0" applyProtection="0"/>
    <xf numFmtId="40" fontId="38" fillId="0" borderId="0" applyFont="0" applyFill="0" applyBorder="0" applyAlignment="0" applyProtection="0"/>
    <xf numFmtId="256" fontId="38" fillId="0" borderId="0" applyFont="0" applyFill="0" applyBorder="0" applyAlignment="0" applyProtection="0"/>
    <xf numFmtId="191" fontId="48" fillId="0" borderId="0" applyNumberFormat="0" applyFill="0" applyBorder="0" applyAlignment="0"/>
    <xf numFmtId="0" fontId="51" fillId="0" borderId="0"/>
    <xf numFmtId="0" fontId="38" fillId="0" borderId="0" applyFont="0" applyFill="0" applyBorder="0" applyAlignment="0" applyProtection="0"/>
    <xf numFmtId="0" fontId="31" fillId="15" borderId="0" applyNumberFormat="0" applyFont="0" applyBorder="0" applyAlignment="0">
      <protection hidden="1"/>
    </xf>
    <xf numFmtId="0" fontId="15" fillId="0" borderId="0"/>
    <xf numFmtId="0" fontId="111" fillId="0" borderId="0" applyNumberFormat="0" applyFill="0" applyBorder="0" applyProtection="0">
      <alignment horizontal="left" vertical="center"/>
    </xf>
    <xf numFmtId="231" fontId="26" fillId="0" borderId="29" applyNumberFormat="0" applyFill="0" applyAlignment="0" applyProtection="0">
      <alignment vertical="center"/>
    </xf>
    <xf numFmtId="0" fontId="40" fillId="0" borderId="0"/>
    <xf numFmtId="231" fontId="24" fillId="0" borderId="30" applyNumberFormat="0" applyFont="0" applyFill="0" applyAlignment="0" applyProtection="0">
      <alignment vertical="center"/>
    </xf>
    <xf numFmtId="0" fontId="6" fillId="0" borderId="0">
      <alignment horizontal="left"/>
    </xf>
    <xf numFmtId="0" fontId="54" fillId="0" borderId="1" applyBorder="0" applyProtection="0">
      <alignment horizontal="right" vertical="center"/>
    </xf>
    <xf numFmtId="0" fontId="6" fillId="32" borderId="0" applyBorder="0" applyProtection="0">
      <alignment horizontal="centerContinuous" vertical="center"/>
    </xf>
    <xf numFmtId="0" fontId="6" fillId="12" borderId="1" applyBorder="0" applyProtection="0">
      <alignment horizontal="centerContinuous" vertical="center"/>
    </xf>
    <xf numFmtId="228" fontId="31" fillId="0" borderId="0">
      <alignment horizontal="right"/>
    </xf>
    <xf numFmtId="3" fontId="31" fillId="0" borderId="0">
      <alignment horizontal="right"/>
    </xf>
    <xf numFmtId="0" fontId="24" fillId="20" borderId="0" applyNumberFormat="0" applyFont="0" applyBorder="0" applyAlignment="0" applyProtection="0">
      <alignment vertical="center"/>
    </xf>
    <xf numFmtId="0" fontId="6" fillId="0" borderId="0">
      <alignment horizontal="left"/>
    </xf>
    <xf numFmtId="0" fontId="6" fillId="0" borderId="0"/>
    <xf numFmtId="0" fontId="112" fillId="0" borderId="0">
      <alignment horizontal="centerContinuous"/>
    </xf>
    <xf numFmtId="0" fontId="24" fillId="0" borderId="0" applyNumberFormat="0" applyFont="0" applyFill="0" applyAlignment="0" applyProtection="0">
      <alignment vertical="center"/>
    </xf>
    <xf numFmtId="0" fontId="6" fillId="0" borderId="0"/>
    <xf numFmtId="231" fontId="24" fillId="0" borderId="0" applyNumberFormat="0" applyFont="0" applyBorder="0" applyAlignment="0" applyProtection="0">
      <alignment vertical="center"/>
    </xf>
    <xf numFmtId="0" fontId="6" fillId="31" borderId="31" applyNumberFormat="0" applyAlignment="0" applyProtection="0">
      <alignment vertical="center"/>
    </xf>
    <xf numFmtId="0" fontId="40" fillId="0" borderId="0"/>
    <xf numFmtId="0" fontId="112" fillId="0" borderId="0">
      <alignment horizontal="centerContinuous"/>
    </xf>
    <xf numFmtId="0" fontId="6" fillId="26" borderId="0" applyNumberFormat="0" applyFont="0" applyBorder="0" applyAlignment="0" applyProtection="0"/>
    <xf numFmtId="49" fontId="54" fillId="0" borderId="1">
      <alignment vertical="center"/>
    </xf>
    <xf numFmtId="49" fontId="24" fillId="0" borderId="0" applyFont="0" applyFill="0" applyBorder="0" applyAlignment="0" applyProtection="0">
      <alignment horizontal="center"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57" fontId="6" fillId="0" borderId="0" applyFill="0" applyBorder="0" applyAlignment="0" applyProtection="0">
      <alignment horizontal="right"/>
    </xf>
    <xf numFmtId="1" fontId="59" fillId="0" borderId="2" applyFill="0" applyBorder="0" applyProtection="0">
      <alignment horizontal="right"/>
    </xf>
    <xf numFmtId="258" fontId="6" fillId="0" borderId="0"/>
    <xf numFmtId="0" fontId="3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259" fontId="102" fillId="0" borderId="0"/>
    <xf numFmtId="0" fontId="52" fillId="14" borderId="7" applyNumberFormat="0" applyProtection="0">
      <alignment horizontal="left" vertical="center"/>
    </xf>
    <xf numFmtId="0" fontId="59" fillId="0" borderId="0" applyFill="0" applyBorder="0" applyProtection="0"/>
    <xf numFmtId="0" fontId="6" fillId="0" borderId="32"/>
    <xf numFmtId="226" fontId="113" fillId="0" borderId="33"/>
    <xf numFmtId="226" fontId="101" fillId="0" borderId="0" applyNumberFormat="0" applyFill="0" applyBorder="0" applyAlignment="0" applyProtection="0"/>
    <xf numFmtId="0" fontId="51" fillId="0" borderId="0" applyBorder="0"/>
    <xf numFmtId="219" fontId="39" fillId="0" borderId="0" applyNumberFormat="0" applyFill="0" applyBorder="0" applyAlignment="0"/>
    <xf numFmtId="0" fontId="6" fillId="0" borderId="0"/>
    <xf numFmtId="0" fontId="6" fillId="0" borderId="0"/>
    <xf numFmtId="0" fontId="6" fillId="0" borderId="0" applyNumberFormat="0" applyFont="0" applyFill="0" applyBorder="0" applyAlignment="0">
      <alignment horizontal="left" vertical="center"/>
    </xf>
    <xf numFmtId="181" fontId="6" fillId="0" borderId="34" applyNumberFormat="0" applyFont="0" applyFill="0" applyAlignment="0"/>
    <xf numFmtId="0" fontId="26" fillId="15" borderId="0" applyNumberFormat="0" applyAlignment="0" applyProtection="0">
      <alignment horizontal="left" vertical="center" wrapText="1"/>
    </xf>
    <xf numFmtId="242" fontId="6" fillId="0" borderId="0" applyFont="0" applyFill="0" applyBorder="0" applyAlignment="0" applyProtection="0"/>
    <xf numFmtId="260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79" fontId="114" fillId="0" borderId="1" applyAlignment="0">
      <alignment horizontal="left"/>
      <protection locked="0"/>
    </xf>
    <xf numFmtId="0" fontId="24" fillId="0" borderId="0" applyNumberFormat="0" applyFont="0" applyBorder="0" applyAlignment="0" applyProtection="0">
      <alignment vertical="center"/>
    </xf>
    <xf numFmtId="0" fontId="6" fillId="0" borderId="0"/>
    <xf numFmtId="0" fontId="115" fillId="0" borderId="0"/>
    <xf numFmtId="0" fontId="24" fillId="0" borderId="0" applyNumberFormat="0" applyFont="0" applyAlignment="0" applyProtection="0">
      <alignment vertical="center"/>
    </xf>
    <xf numFmtId="261" fontId="6" fillId="0" borderId="0" applyNumberFormat="0"/>
    <xf numFmtId="178" fontId="6" fillId="0" borderId="0" applyFont="0" applyFill="0" applyBorder="0" applyAlignment="0" applyProtection="0"/>
    <xf numFmtId="0" fontId="116" fillId="0" borderId="0" applyNumberFormat="0" applyFont="0" applyFill="0" applyBorder="0" applyAlignment="0" applyProtection="0">
      <alignment horizontal="left"/>
    </xf>
    <xf numFmtId="0" fontId="117" fillId="0" borderId="0" applyNumberFormat="0" applyFill="0" applyBorder="0" applyAlignment="0" applyProtection="0"/>
    <xf numFmtId="1" fontId="40" fillId="0" borderId="0" applyFont="0" applyFill="0" applyBorder="0" applyAlignment="0" applyProtection="0"/>
    <xf numFmtId="0" fontId="38" fillId="14" borderId="0" applyNumberFormat="0" applyBorder="0" applyProtection="0">
      <alignment horizontal="left"/>
    </xf>
    <xf numFmtId="1" fontId="6" fillId="33" borderId="0"/>
    <xf numFmtId="0" fontId="46" fillId="0" borderId="0" applyFont="0" applyFill="0" applyBorder="0" applyAlignment="0" applyProtection="0"/>
    <xf numFmtId="40" fontId="118" fillId="0" borderId="0" applyFont="0" applyFill="0" applyBorder="0" applyAlignment="0" applyProtection="0"/>
    <xf numFmtId="38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19" fillId="0" borderId="0"/>
    <xf numFmtId="0" fontId="120" fillId="0" borderId="0" applyFont="0" applyFill="0" applyBorder="0" applyAlignment="0" applyProtection="0"/>
    <xf numFmtId="0" fontId="120" fillId="0" borderId="0" applyFont="0" applyFill="0" applyBorder="0" applyAlignment="0" applyProtection="0"/>
    <xf numFmtId="262" fontId="6" fillId="0" borderId="0" applyFont="0" applyFill="0" applyBorder="0" applyAlignment="0" applyProtection="0"/>
    <xf numFmtId="0" fontId="120" fillId="0" borderId="0" applyFont="0" applyFill="0" applyBorder="0" applyAlignment="0" applyProtection="0"/>
    <xf numFmtId="0" fontId="121" fillId="0" borderId="0"/>
    <xf numFmtId="0" fontId="6" fillId="0" borderId="0"/>
    <xf numFmtId="0" fontId="126" fillId="34" borderId="0" applyNumberFormat="0" applyBorder="0" applyAlignment="0" applyProtection="0"/>
    <xf numFmtId="0" fontId="126" fillId="35" borderId="0" applyNumberFormat="0" applyBorder="0" applyAlignment="0" applyProtection="0"/>
    <xf numFmtId="0" fontId="126" fillId="36" borderId="0" applyNumberFormat="0" applyBorder="0" applyAlignment="0" applyProtection="0"/>
    <xf numFmtId="0" fontId="126" fillId="37" borderId="0" applyNumberFormat="0" applyBorder="0" applyAlignment="0" applyProtection="0"/>
    <xf numFmtId="0" fontId="126" fillId="38" borderId="0" applyNumberFormat="0" applyBorder="0" applyAlignment="0" applyProtection="0"/>
    <xf numFmtId="0" fontId="126" fillId="39" borderId="0" applyNumberFormat="0" applyBorder="0" applyAlignment="0" applyProtection="0"/>
    <xf numFmtId="0" fontId="126" fillId="40" borderId="0" applyNumberFormat="0" applyBorder="0" applyAlignment="0" applyProtection="0"/>
    <xf numFmtId="0" fontId="126" fillId="41" borderId="0" applyNumberFormat="0" applyBorder="0" applyAlignment="0" applyProtection="0"/>
    <xf numFmtId="0" fontId="126" fillId="42" borderId="0" applyNumberFormat="0" applyBorder="0" applyAlignment="0" applyProtection="0"/>
    <xf numFmtId="0" fontId="126" fillId="37" borderId="0" applyNumberFormat="0" applyBorder="0" applyAlignment="0" applyProtection="0"/>
    <xf numFmtId="0" fontId="126" fillId="40" borderId="0" applyNumberFormat="0" applyBorder="0" applyAlignment="0" applyProtection="0"/>
    <xf numFmtId="0" fontId="126" fillId="43" borderId="0" applyNumberFormat="0" applyBorder="0" applyAlignment="0" applyProtection="0"/>
    <xf numFmtId="0" fontId="127" fillId="44" borderId="0" applyNumberFormat="0" applyBorder="0" applyAlignment="0" applyProtection="0"/>
    <xf numFmtId="0" fontId="127" fillId="41" borderId="0" applyNumberFormat="0" applyBorder="0" applyAlignment="0" applyProtection="0"/>
    <xf numFmtId="0" fontId="127" fillId="42" borderId="0" applyNumberFormat="0" applyBorder="0" applyAlignment="0" applyProtection="0"/>
    <xf numFmtId="0" fontId="127" fillId="45" borderId="0" applyNumberFormat="0" applyBorder="0" applyAlignment="0" applyProtection="0"/>
    <xf numFmtId="0" fontId="127" fillId="46" borderId="0" applyNumberFormat="0" applyBorder="0" applyAlignment="0" applyProtection="0"/>
    <xf numFmtId="0" fontId="127" fillId="47" borderId="0" applyNumberFormat="0" applyBorder="0" applyAlignment="0" applyProtection="0"/>
    <xf numFmtId="0" fontId="128" fillId="36" borderId="0" applyNumberFormat="0" applyBorder="0" applyAlignment="0" applyProtection="0"/>
    <xf numFmtId="0" fontId="129" fillId="23" borderId="35" applyNumberFormat="0" applyAlignment="0" applyProtection="0"/>
    <xf numFmtId="0" fontId="130" fillId="48" borderId="36" applyNumberFormat="0" applyAlignment="0" applyProtection="0"/>
    <xf numFmtId="0" fontId="131" fillId="0" borderId="37" applyNumberFormat="0" applyFill="0" applyAlignment="0" applyProtection="0"/>
    <xf numFmtId="0" fontId="132" fillId="0" borderId="0" applyNumberFormat="0" applyFill="0" applyBorder="0" applyAlignment="0" applyProtection="0"/>
    <xf numFmtId="0" fontId="127" fillId="49" borderId="0" applyNumberFormat="0" applyBorder="0" applyAlignment="0" applyProtection="0"/>
    <xf numFmtId="0" fontId="127" fillId="50" borderId="0" applyNumberFormat="0" applyBorder="0" applyAlignment="0" applyProtection="0"/>
    <xf numFmtId="0" fontId="127" fillId="51" borderId="0" applyNumberFormat="0" applyBorder="0" applyAlignment="0" applyProtection="0"/>
    <xf numFmtId="0" fontId="127" fillId="45" borderId="0" applyNumberFormat="0" applyBorder="0" applyAlignment="0" applyProtection="0"/>
    <xf numFmtId="0" fontId="127" fillId="46" borderId="0" applyNumberFormat="0" applyBorder="0" applyAlignment="0" applyProtection="0"/>
    <xf numFmtId="0" fontId="127" fillId="52" borderId="0" applyNumberFormat="0" applyBorder="0" applyAlignment="0" applyProtection="0"/>
    <xf numFmtId="0" fontId="133" fillId="39" borderId="35" applyNumberFormat="0" applyAlignment="0" applyProtection="0"/>
    <xf numFmtId="0" fontId="134" fillId="35" borderId="0" applyNumberFormat="0" applyBorder="0" applyAlignment="0" applyProtection="0"/>
    <xf numFmtId="263" fontId="6" fillId="0" borderId="0" applyFont="0" applyFill="0" applyBorder="0" applyAlignment="0" applyProtection="0"/>
    <xf numFmtId="0" fontId="135" fillId="53" borderId="0" applyNumberFormat="0" applyBorder="0" applyAlignment="0" applyProtection="0"/>
    <xf numFmtId="0" fontId="6" fillId="54" borderId="38" applyNumberFormat="0" applyFont="0" applyAlignment="0" applyProtection="0"/>
    <xf numFmtId="9" fontId="6" fillId="0" borderId="0" applyFont="0" applyFill="0" applyBorder="0" applyAlignment="0" applyProtection="0"/>
    <xf numFmtId="0" fontId="136" fillId="23" borderId="39" applyNumberFormat="0" applyAlignment="0" applyProtection="0"/>
    <xf numFmtId="0" fontId="125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0" borderId="40" applyNumberFormat="0" applyFill="0" applyAlignment="0" applyProtection="0"/>
    <xf numFmtId="0" fontId="140" fillId="0" borderId="41" applyNumberFormat="0" applyFill="0" applyAlignment="0" applyProtection="0"/>
    <xf numFmtId="0" fontId="132" fillId="0" borderId="42" applyNumberFormat="0" applyFill="0" applyAlignment="0" applyProtection="0"/>
    <xf numFmtId="0" fontId="141" fillId="0" borderId="43" applyNumberFormat="0" applyFill="0" applyAlignment="0" applyProtection="0"/>
    <xf numFmtId="0" fontId="6" fillId="0" borderId="0" applyFont="0" applyFill="0" applyBorder="0" applyAlignment="0" applyProtection="0"/>
    <xf numFmtId="0" fontId="6" fillId="0" borderId="0">
      <alignment horizontal="left"/>
    </xf>
    <xf numFmtId="0" fontId="159" fillId="0" borderId="0"/>
    <xf numFmtId="192" fontId="159" fillId="0" borderId="0" applyFont="0" applyFill="0" applyBorder="0" applyAlignment="0" applyProtection="0"/>
  </cellStyleXfs>
  <cellXfs count="662">
    <xf numFmtId="0" fontId="0" fillId="0" borderId="0" xfId="0"/>
    <xf numFmtId="0" fontId="2" fillId="0" borderId="0" xfId="0" quotePrefix="1" applyFont="1"/>
    <xf numFmtId="0" fontId="3" fillId="0" borderId="1" xfId="0" applyFont="1" applyBorder="1"/>
    <xf numFmtId="0" fontId="3" fillId="0" borderId="0" xfId="0" applyFont="1"/>
    <xf numFmtId="0" fontId="3" fillId="0" borderId="0" xfId="0" quotePrefix="1" applyFont="1"/>
    <xf numFmtId="9" fontId="3" fillId="0" borderId="0" xfId="0" applyNumberFormat="1" applyFont="1"/>
    <xf numFmtId="10" fontId="3" fillId="0" borderId="0" xfId="0" applyNumberFormat="1" applyFont="1"/>
    <xf numFmtId="1" fontId="3" fillId="0" borderId="0" xfId="0" applyNumberFormat="1" applyFont="1"/>
    <xf numFmtId="164" fontId="3" fillId="0" borderId="0" xfId="0" applyNumberFormat="1" applyFont="1"/>
    <xf numFmtId="1" fontId="3" fillId="0" borderId="1" xfId="0" applyNumberFormat="1" applyFont="1" applyBorder="1"/>
    <xf numFmtId="0" fontId="4" fillId="0" borderId="0" xfId="0" applyFont="1"/>
    <xf numFmtId="165" fontId="3" fillId="0" borderId="0" xfId="0" applyNumberFormat="1" applyFont="1"/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17" fontId="0" fillId="0" borderId="0" xfId="0" applyNumberFormat="1"/>
    <xf numFmtId="1" fontId="0" fillId="0" borderId="0" xfId="0" applyNumberFormat="1"/>
    <xf numFmtId="2" fontId="0" fillId="0" borderId="0" xfId="0" applyNumberFormat="1"/>
    <xf numFmtId="0" fontId="16" fillId="0" borderId="0" xfId="0" applyFont="1"/>
    <xf numFmtId="0" fontId="3" fillId="0" borderId="2" xfId="0" applyFont="1" applyBorder="1"/>
    <xf numFmtId="1" fontId="3" fillId="0" borderId="2" xfId="0" applyNumberFormat="1" applyFont="1" applyBorder="1"/>
    <xf numFmtId="0" fontId="1" fillId="0" borderId="2" xfId="24" applyFont="1" applyBorder="1"/>
    <xf numFmtId="0" fontId="2" fillId="0" borderId="0" xfId="24" applyFont="1"/>
    <xf numFmtId="175" fontId="2" fillId="0" borderId="0" xfId="23" applyNumberFormat="1" applyFont="1"/>
    <xf numFmtId="175" fontId="2" fillId="2" borderId="0" xfId="23" applyNumberFormat="1" applyFont="1" applyFill="1"/>
    <xf numFmtId="164" fontId="2" fillId="0" borderId="0" xfId="24" applyNumberFormat="1" applyFont="1"/>
    <xf numFmtId="164" fontId="2" fillId="2" borderId="0" xfId="24" applyNumberFormat="1" applyFont="1" applyFill="1"/>
    <xf numFmtId="176" fontId="2" fillId="0" borderId="0" xfId="23" applyNumberFormat="1" applyFont="1"/>
    <xf numFmtId="176" fontId="2" fillId="2" borderId="0" xfId="23" applyNumberFormat="1" applyFont="1" applyFill="1"/>
    <xf numFmtId="176" fontId="2" fillId="2" borderId="0" xfId="23" applyNumberFormat="1" applyFont="1" applyFill="1" applyBorder="1"/>
    <xf numFmtId="176" fontId="2" fillId="0" borderId="0" xfId="24" applyNumberFormat="1" applyFont="1"/>
    <xf numFmtId="176" fontId="2" fillId="2" borderId="0" xfId="24" applyNumberFormat="1" applyFont="1" applyFill="1"/>
    <xf numFmtId="0" fontId="2" fillId="0" borderId="1" xfId="24" applyFont="1" applyBorder="1"/>
    <xf numFmtId="176" fontId="2" fillId="2" borderId="1" xfId="23" applyNumberFormat="1" applyFont="1" applyFill="1" applyBorder="1"/>
    <xf numFmtId="176" fontId="2" fillId="2" borderId="1" xfId="24" applyNumberFormat="1" applyFont="1" applyFill="1" applyBorder="1"/>
    <xf numFmtId="176" fontId="2" fillId="0" borderId="1" xfId="24" applyNumberFormat="1" applyFont="1" applyBorder="1"/>
    <xf numFmtId="0" fontId="1" fillId="0" borderId="0" xfId="24" applyFont="1"/>
    <xf numFmtId="176" fontId="1" fillId="0" borderId="0" xfId="24" applyNumberFormat="1" applyFont="1"/>
    <xf numFmtId="176" fontId="2" fillId="0" borderId="0" xfId="23" applyNumberFormat="1" applyFont="1" applyBorder="1"/>
    <xf numFmtId="9" fontId="2" fillId="0" borderId="0" xfId="24" applyNumberFormat="1" applyFont="1"/>
    <xf numFmtId="9" fontId="2" fillId="0" borderId="1" xfId="24" applyNumberFormat="1" applyFont="1" applyBorder="1"/>
    <xf numFmtId="164" fontId="2" fillId="2" borderId="1" xfId="24" applyNumberFormat="1" applyFont="1" applyFill="1" applyBorder="1"/>
    <xf numFmtId="0" fontId="1" fillId="3" borderId="2" xfId="24" applyFont="1" applyFill="1" applyBorder="1"/>
    <xf numFmtId="9" fontId="2" fillId="0" borderId="0" xfId="23" applyNumberFormat="1" applyFont="1"/>
    <xf numFmtId="9" fontId="2" fillId="0" borderId="0" xfId="23" applyNumberFormat="1" applyFont="1" applyBorder="1"/>
    <xf numFmtId="43" fontId="2" fillId="0" borderId="0" xfId="23" applyFont="1"/>
    <xf numFmtId="43" fontId="0" fillId="0" borderId="0" xfId="0" applyNumberFormat="1"/>
    <xf numFmtId="9" fontId="2" fillId="2" borderId="0" xfId="24" applyNumberFormat="1" applyFont="1" applyFill="1"/>
    <xf numFmtId="0" fontId="2" fillId="0" borderId="2" xfId="24" applyFont="1" applyBorder="1"/>
    <xf numFmtId="176" fontId="2" fillId="0" borderId="2" xfId="24" applyNumberFormat="1" applyFont="1" applyBorder="1"/>
    <xf numFmtId="176" fontId="18" fillId="0" borderId="0" xfId="24" applyNumberFormat="1" applyFont="1"/>
    <xf numFmtId="176" fontId="1" fillId="0" borderId="2" xfId="24" applyNumberFormat="1" applyFont="1" applyBorder="1"/>
    <xf numFmtId="176" fontId="1" fillId="2" borderId="2" xfId="24" applyNumberFormat="1" applyFont="1" applyFill="1" applyBorder="1"/>
    <xf numFmtId="164" fontId="2" fillId="0" borderId="2" xfId="24" applyNumberFormat="1" applyFont="1" applyBorder="1"/>
    <xf numFmtId="164" fontId="1" fillId="0" borderId="2" xfId="24" applyNumberFormat="1" applyFont="1" applyBorder="1"/>
    <xf numFmtId="164" fontId="1" fillId="0" borderId="0" xfId="24" applyNumberFormat="1" applyFont="1"/>
    <xf numFmtId="0" fontId="1" fillId="0" borderId="2" xfId="0" applyFont="1" applyBorder="1"/>
    <xf numFmtId="176" fontId="1" fillId="0" borderId="2" xfId="0" applyNumberFormat="1" applyFont="1" applyBorder="1"/>
    <xf numFmtId="9" fontId="0" fillId="0" borderId="0" xfId="0" applyNumberFormat="1"/>
    <xf numFmtId="3" fontId="2" fillId="0" borderId="0" xfId="24" applyNumberFormat="1" applyFont="1"/>
    <xf numFmtId="0" fontId="0" fillId="0" borderId="0" xfId="0" quotePrefix="1"/>
    <xf numFmtId="164" fontId="2" fillId="0" borderId="0" xfId="0" applyNumberFormat="1" applyFont="1"/>
    <xf numFmtId="0" fontId="1" fillId="0" borderId="0" xfId="0" applyFont="1"/>
    <xf numFmtId="9" fontId="1" fillId="0" borderId="0" xfId="0" applyNumberFormat="1" applyFont="1"/>
    <xf numFmtId="0" fontId="2" fillId="0" borderId="2" xfId="0" applyFont="1" applyBorder="1"/>
    <xf numFmtId="176" fontId="2" fillId="2" borderId="2" xfId="24" applyNumberFormat="1" applyFont="1" applyFill="1" applyBorder="1"/>
    <xf numFmtId="0" fontId="1" fillId="3" borderId="2" xfId="25" applyFont="1" applyFill="1" applyBorder="1"/>
    <xf numFmtId="0" fontId="2" fillId="0" borderId="0" xfId="25"/>
    <xf numFmtId="176" fontId="2" fillId="0" borderId="0" xfId="25" applyNumberFormat="1"/>
    <xf numFmtId="164" fontId="2" fillId="0" borderId="0" xfId="25" applyNumberFormat="1"/>
    <xf numFmtId="9" fontId="2" fillId="0" borderId="0" xfId="25" applyNumberFormat="1"/>
    <xf numFmtId="0" fontId="1" fillId="0" borderId="0" xfId="25" applyFont="1"/>
    <xf numFmtId="176" fontId="1" fillId="0" borderId="0" xfId="25" applyNumberFormat="1" applyFont="1"/>
    <xf numFmtId="9" fontId="2" fillId="4" borderId="0" xfId="24" applyNumberFormat="1" applyFont="1" applyFill="1"/>
    <xf numFmtId="176" fontId="2" fillId="0" borderId="1" xfId="23" applyNumberFormat="1" applyFont="1" applyBorder="1"/>
    <xf numFmtId="4" fontId="2" fillId="2" borderId="0" xfId="24" applyNumberFormat="1" applyFont="1" applyFill="1"/>
    <xf numFmtId="4" fontId="2" fillId="0" borderId="0" xfId="24" applyNumberFormat="1" applyFont="1"/>
    <xf numFmtId="9" fontId="3" fillId="2" borderId="0" xfId="0" applyNumberFormat="1" applyFont="1" applyFill="1"/>
    <xf numFmtId="1" fontId="3" fillId="2" borderId="0" xfId="0" applyNumberFormat="1" applyFont="1" applyFill="1"/>
    <xf numFmtId="176" fontId="1" fillId="4" borderId="2" xfId="24" applyNumberFormat="1" applyFont="1" applyFill="1" applyBorder="1"/>
    <xf numFmtId="176" fontId="3" fillId="0" borderId="0" xfId="0" applyNumberFormat="1" applyFont="1"/>
    <xf numFmtId="176" fontId="3" fillId="0" borderId="1" xfId="0" applyNumberFormat="1" applyFont="1" applyBorder="1"/>
    <xf numFmtId="176" fontId="3" fillId="4" borderId="0" xfId="0" applyNumberFormat="1" applyFont="1" applyFill="1"/>
    <xf numFmtId="9" fontId="3" fillId="0" borderId="1" xfId="0" applyNumberFormat="1" applyFont="1" applyBorder="1"/>
    <xf numFmtId="164" fontId="3" fillId="0" borderId="1" xfId="0" applyNumberFormat="1" applyFont="1" applyBorder="1"/>
    <xf numFmtId="175" fontId="3" fillId="2" borderId="0" xfId="0" applyNumberFormat="1" applyFont="1" applyFill="1"/>
    <xf numFmtId="175" fontId="3" fillId="0" borderId="0" xfId="0" applyNumberFormat="1" applyFont="1"/>
    <xf numFmtId="3" fontId="3" fillId="2" borderId="0" xfId="0" applyNumberFormat="1" applyFont="1" applyFill="1"/>
    <xf numFmtId="3" fontId="3" fillId="0" borderId="0" xfId="0" applyNumberFormat="1" applyFont="1"/>
    <xf numFmtId="176" fontId="3" fillId="4" borderId="2" xfId="0" applyNumberFormat="1" applyFont="1" applyFill="1" applyBorder="1"/>
    <xf numFmtId="9" fontId="4" fillId="0" borderId="0" xfId="0" applyNumberFormat="1" applyFont="1"/>
    <xf numFmtId="9" fontId="4" fillId="2" borderId="0" xfId="0" applyNumberFormat="1" applyFont="1" applyFill="1"/>
    <xf numFmtId="0" fontId="22" fillId="0" borderId="0" xfId="0" applyFont="1"/>
    <xf numFmtId="176" fontId="4" fillId="0" borderId="0" xfId="0" applyNumberFormat="1" applyFont="1"/>
    <xf numFmtId="3" fontId="3" fillId="0" borderId="2" xfId="0" applyNumberFormat="1" applyFont="1" applyBorder="1"/>
    <xf numFmtId="176" fontId="3" fillId="0" borderId="2" xfId="0" applyNumberFormat="1" applyFont="1" applyBorder="1"/>
    <xf numFmtId="0" fontId="5" fillId="0" borderId="0" xfId="0" applyFont="1"/>
    <xf numFmtId="176" fontId="3" fillId="4" borderId="1" xfId="0" applyNumberFormat="1" applyFont="1" applyFill="1" applyBorder="1"/>
    <xf numFmtId="9" fontId="3" fillId="4" borderId="0" xfId="0" applyNumberFormat="1" applyFont="1" applyFill="1"/>
    <xf numFmtId="0" fontId="4" fillId="0" borderId="1" xfId="0" applyFont="1" applyBorder="1"/>
    <xf numFmtId="1" fontId="3" fillId="4" borderId="0" xfId="0" applyNumberFormat="1" applyFont="1" applyFill="1"/>
    <xf numFmtId="0" fontId="24" fillId="0" borderId="0" xfId="2" applyFont="1" applyAlignment="1">
      <alignment vertical="center"/>
    </xf>
    <xf numFmtId="0" fontId="25" fillId="0" borderId="0" xfId="2" applyFont="1" applyAlignment="1">
      <alignment horizontal="centerContinuous" vertical="center"/>
    </xf>
    <xf numFmtId="0" fontId="26" fillId="0" borderId="0" xfId="2" applyFont="1" applyAlignment="1">
      <alignment horizontal="centerContinuous" vertical="center"/>
    </xf>
    <xf numFmtId="0" fontId="26" fillId="0" borderId="0" xfId="2" applyFont="1" applyAlignment="1">
      <alignment vertical="center"/>
    </xf>
    <xf numFmtId="177" fontId="24" fillId="0" borderId="0" xfId="2" applyNumberFormat="1" applyFont="1" applyAlignment="1">
      <alignment horizontal="right" vertical="center"/>
    </xf>
    <xf numFmtId="177" fontId="24" fillId="0" borderId="3" xfId="2" applyNumberFormat="1" applyFont="1" applyBorder="1" applyAlignment="1">
      <alignment horizontal="right" vertical="center"/>
    </xf>
    <xf numFmtId="177" fontId="24" fillId="6" borderId="0" xfId="2" applyNumberFormat="1" applyFont="1" applyFill="1" applyAlignment="1">
      <alignment horizontal="right" vertical="center"/>
    </xf>
    <xf numFmtId="178" fontId="26" fillId="0" borderId="0" xfId="2" applyNumberFormat="1" applyFont="1" applyAlignment="1">
      <alignment horizontal="center" vertical="center"/>
    </xf>
    <xf numFmtId="0" fontId="0" fillId="0" borderId="1" xfId="0" applyBorder="1"/>
    <xf numFmtId="10" fontId="2" fillId="2" borderId="0" xfId="25" applyNumberFormat="1" applyFill="1"/>
    <xf numFmtId="10" fontId="2" fillId="0" borderId="0" xfId="25" applyNumberFormat="1"/>
    <xf numFmtId="164" fontId="2" fillId="2" borderId="0" xfId="25" applyNumberFormat="1" applyFill="1"/>
    <xf numFmtId="164" fontId="1" fillId="0" borderId="0" xfId="25" applyNumberFormat="1" applyFont="1"/>
    <xf numFmtId="0" fontId="2" fillId="0" borderId="1" xfId="25" applyBorder="1"/>
    <xf numFmtId="0" fontId="1" fillId="0" borderId="1" xfId="25" applyFont="1" applyBorder="1" applyAlignment="1">
      <alignment horizontal="right"/>
    </xf>
    <xf numFmtId="0" fontId="27" fillId="0" borderId="0" xfId="0" applyFont="1"/>
    <xf numFmtId="164" fontId="27" fillId="0" borderId="0" xfId="0" applyNumberFormat="1" applyFont="1"/>
    <xf numFmtId="0" fontId="1" fillId="7" borderId="2" xfId="25" applyFont="1" applyFill="1" applyBorder="1"/>
    <xf numFmtId="0" fontId="6" fillId="0" borderId="0" xfId="27"/>
    <xf numFmtId="0" fontId="2" fillId="0" borderId="0" xfId="2" applyFont="1"/>
    <xf numFmtId="0" fontId="6" fillId="0" borderId="0" xfId="2"/>
    <xf numFmtId="0" fontId="1" fillId="0" borderId="1" xfId="2" applyFont="1" applyBorder="1"/>
    <xf numFmtId="0" fontId="1" fillId="0" borderId="1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3" fontId="1" fillId="0" borderId="0" xfId="2" applyNumberFormat="1" applyFont="1"/>
    <xf numFmtId="3" fontId="2" fillId="0" borderId="0" xfId="2" applyNumberFormat="1" applyFont="1"/>
    <xf numFmtId="3" fontId="2" fillId="2" borderId="0" xfId="2" applyNumberFormat="1" applyFont="1" applyFill="1"/>
    <xf numFmtId="179" fontId="2" fillId="0" borderId="0" xfId="2" applyNumberFormat="1" applyFont="1"/>
    <xf numFmtId="0" fontId="28" fillId="0" borderId="0" xfId="2" applyFont="1"/>
    <xf numFmtId="9" fontId="2" fillId="0" borderId="0" xfId="2" applyNumberFormat="1" applyFont="1"/>
    <xf numFmtId="0" fontId="2" fillId="0" borderId="1" xfId="2" applyFont="1" applyBorder="1"/>
    <xf numFmtId="3" fontId="2" fillId="0" borderId="1" xfId="2" applyNumberFormat="1" applyFont="1" applyBorder="1"/>
    <xf numFmtId="9" fontId="6" fillId="0" borderId="0" xfId="2" applyNumberFormat="1"/>
    <xf numFmtId="164" fontId="2" fillId="0" borderId="0" xfId="2" applyNumberFormat="1" applyFont="1"/>
    <xf numFmtId="4" fontId="2" fillId="0" borderId="0" xfId="2" applyNumberFormat="1" applyFont="1"/>
    <xf numFmtId="1" fontId="2" fillId="0" borderId="0" xfId="2" applyNumberFormat="1" applyFont="1"/>
    <xf numFmtId="165" fontId="1" fillId="0" borderId="0" xfId="2" applyNumberFormat="1" applyFont="1"/>
    <xf numFmtId="164" fontId="2" fillId="0" borderId="0" xfId="26" applyNumberFormat="1" applyFont="1"/>
    <xf numFmtId="164" fontId="2" fillId="0" borderId="0" xfId="26" applyNumberFormat="1" applyFont="1" applyFill="1"/>
    <xf numFmtId="179" fontId="1" fillId="0" borderId="0" xfId="2" applyNumberFormat="1" applyFont="1"/>
    <xf numFmtId="3" fontId="2" fillId="2" borderId="4" xfId="2" applyNumberFormat="1" applyFont="1" applyFill="1" applyBorder="1"/>
    <xf numFmtId="0" fontId="0" fillId="0" borderId="1" xfId="0" applyBorder="1" applyAlignment="1">
      <alignment horizontal="right"/>
    </xf>
    <xf numFmtId="0" fontId="29" fillId="0" borderId="0" xfId="0" applyFont="1"/>
    <xf numFmtId="0" fontId="29" fillId="0" borderId="1" xfId="0" applyFont="1" applyBorder="1"/>
    <xf numFmtId="3" fontId="29" fillId="0" borderId="0" xfId="0" applyNumberFormat="1" applyFont="1"/>
    <xf numFmtId="3" fontId="29" fillId="0" borderId="1" xfId="0" applyNumberFormat="1" applyFont="1" applyBorder="1"/>
    <xf numFmtId="164" fontId="29" fillId="0" borderId="0" xfId="0" applyNumberFormat="1" applyFont="1"/>
    <xf numFmtId="164" fontId="29" fillId="0" borderId="1" xfId="0" applyNumberFormat="1" applyFont="1" applyBorder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76" fontId="1" fillId="4" borderId="2" xfId="0" applyNumberFormat="1" applyFont="1" applyFill="1" applyBorder="1"/>
    <xf numFmtId="176" fontId="2" fillId="4" borderId="2" xfId="24" applyNumberFormat="1" applyFont="1" applyFill="1" applyBorder="1"/>
    <xf numFmtId="164" fontId="3" fillId="0" borderId="2" xfId="0" applyNumberFormat="1" applyFont="1" applyBorder="1"/>
    <xf numFmtId="1" fontId="2" fillId="0" borderId="0" xfId="25" applyNumberFormat="1"/>
    <xf numFmtId="180" fontId="3" fillId="0" borderId="0" xfId="0" applyNumberFormat="1" applyFont="1"/>
    <xf numFmtId="0" fontId="4" fillId="0" borderId="1" xfId="0" applyFont="1" applyBorder="1" applyAlignment="1">
      <alignment horizontal="right"/>
    </xf>
    <xf numFmtId="3" fontId="29" fillId="4" borderId="0" xfId="0" applyNumberFormat="1" applyFont="1" applyFill="1"/>
    <xf numFmtId="0" fontId="3" fillId="4" borderId="0" xfId="0" applyFont="1" applyFill="1"/>
    <xf numFmtId="164" fontId="0" fillId="0" borderId="0" xfId="0" applyNumberFormat="1"/>
    <xf numFmtId="9" fontId="0" fillId="4" borderId="0" xfId="0" applyNumberFormat="1" applyFill="1"/>
    <xf numFmtId="165" fontId="0" fillId="0" borderId="0" xfId="0" applyNumberFormat="1"/>
    <xf numFmtId="1" fontId="0" fillId="4" borderId="0" xfId="0" applyNumberFormat="1" applyFill="1"/>
    <xf numFmtId="3" fontId="0" fillId="0" borderId="0" xfId="0" applyNumberFormat="1"/>
    <xf numFmtId="164" fontId="3" fillId="2" borderId="0" xfId="0" applyNumberFormat="1" applyFont="1" applyFill="1"/>
    <xf numFmtId="9" fontId="1" fillId="0" borderId="0" xfId="24" applyNumberFormat="1" applyFont="1"/>
    <xf numFmtId="176" fontId="1" fillId="8" borderId="2" xfId="24" applyNumberFormat="1" applyFont="1" applyFill="1" applyBorder="1"/>
    <xf numFmtId="0" fontId="30" fillId="0" borderId="0" xfId="0" applyFont="1"/>
    <xf numFmtId="9" fontId="30" fillId="0" borderId="0" xfId="0" applyNumberFormat="1" applyFont="1"/>
    <xf numFmtId="164" fontId="2" fillId="4" borderId="0" xfId="24" applyNumberFormat="1" applyFont="1" applyFill="1"/>
    <xf numFmtId="0" fontId="2" fillId="0" borderId="0" xfId="0" applyFont="1"/>
    <xf numFmtId="9" fontId="2" fillId="0" borderId="0" xfId="0" applyNumberFormat="1" applyFont="1"/>
    <xf numFmtId="0" fontId="2" fillId="0" borderId="1" xfId="0" applyFont="1" applyBorder="1"/>
    <xf numFmtId="9" fontId="2" fillId="0" borderId="1" xfId="0" applyNumberFormat="1" applyFont="1" applyBorder="1"/>
    <xf numFmtId="176" fontId="1" fillId="8" borderId="2" xfId="0" applyNumberFormat="1" applyFont="1" applyFill="1" applyBorder="1"/>
    <xf numFmtId="0" fontId="0" fillId="0" borderId="0" xfId="0" applyAlignment="1">
      <alignment horizontal="right"/>
    </xf>
    <xf numFmtId="9" fontId="19" fillId="0" borderId="0" xfId="0" applyNumberFormat="1" applyFont="1" applyAlignment="1">
      <alignment horizontal="right"/>
    </xf>
    <xf numFmtId="0" fontId="1" fillId="0" borderId="2" xfId="28" applyFont="1" applyBorder="1"/>
    <xf numFmtId="0" fontId="2" fillId="0" borderId="0" xfId="28"/>
    <xf numFmtId="176" fontId="2" fillId="3" borderId="0" xfId="29" applyNumberFormat="1" applyFont="1" applyFill="1"/>
    <xf numFmtId="0" fontId="2" fillId="3" borderId="0" xfId="28" applyFill="1"/>
    <xf numFmtId="176" fontId="2" fillId="3" borderId="0" xfId="30" applyNumberFormat="1" applyFont="1" applyFill="1"/>
    <xf numFmtId="0" fontId="2" fillId="3" borderId="0" xfId="31" applyFont="1" applyFill="1"/>
    <xf numFmtId="176" fontId="2" fillId="3" borderId="0" xfId="31" applyNumberFormat="1" applyFont="1" applyFill="1"/>
    <xf numFmtId="43" fontId="2" fillId="3" borderId="0" xfId="29" applyFont="1" applyFill="1"/>
    <xf numFmtId="2" fontId="2" fillId="0" borderId="0" xfId="28" applyNumberFormat="1"/>
    <xf numFmtId="0" fontId="2" fillId="0" borderId="0" xfId="28" quotePrefix="1"/>
    <xf numFmtId="176" fontId="2" fillId="3" borderId="0" xfId="28" applyNumberFormat="1" applyFill="1"/>
    <xf numFmtId="9" fontId="2" fillId="0" borderId="0" xfId="28" applyNumberFormat="1"/>
    <xf numFmtId="0" fontId="2" fillId="0" borderId="0" xfId="32" applyFont="1"/>
    <xf numFmtId="0" fontId="1" fillId="0" borderId="0" xfId="28" applyFont="1"/>
    <xf numFmtId="0" fontId="6" fillId="0" borderId="0" xfId="33" applyFont="1"/>
    <xf numFmtId="3" fontId="2" fillId="3" borderId="0" xfId="28" applyNumberFormat="1" applyFill="1"/>
    <xf numFmtId="176" fontId="2" fillId="3" borderId="1" xfId="29" applyNumberFormat="1" applyFont="1" applyFill="1" applyBorder="1"/>
    <xf numFmtId="164" fontId="32" fillId="3" borderId="0" xfId="29" applyNumberFormat="1" applyFont="1" applyFill="1" applyBorder="1" applyAlignment="1">
      <alignment horizontal="center" vertical="center"/>
    </xf>
    <xf numFmtId="0" fontId="6" fillId="3" borderId="0" xfId="34" applyFill="1"/>
    <xf numFmtId="9" fontId="32" fillId="3" borderId="0" xfId="29" applyNumberFormat="1" applyFont="1" applyFill="1" applyBorder="1" applyAlignment="1">
      <alignment horizontal="center" vertical="center"/>
    </xf>
    <xf numFmtId="3" fontId="32" fillId="3" borderId="0" xfId="29" applyNumberFormat="1" applyFont="1" applyFill="1" applyBorder="1" applyAlignment="1">
      <alignment horizontal="center" vertical="center"/>
    </xf>
    <xf numFmtId="164" fontId="33" fillId="3" borderId="0" xfId="29" applyNumberFormat="1" applyFont="1" applyFill="1" applyBorder="1" applyAlignment="1">
      <alignment horizontal="center" vertical="center"/>
    </xf>
    <xf numFmtId="0" fontId="2" fillId="0" borderId="0" xfId="35" applyFont="1" applyAlignment="1">
      <alignment vertical="center"/>
    </xf>
    <xf numFmtId="176" fontId="2" fillId="3" borderId="0" xfId="29" applyNumberFormat="1" applyFont="1" applyFill="1" applyBorder="1" applyAlignment="1">
      <alignment horizontal="center" vertical="center"/>
    </xf>
    <xf numFmtId="164" fontId="2" fillId="3" borderId="0" xfId="36" applyNumberFormat="1" applyFont="1" applyFill="1" applyBorder="1" applyAlignment="1">
      <alignment horizontal="center" vertical="center"/>
    </xf>
    <xf numFmtId="164" fontId="2" fillId="3" borderId="0" xfId="29" applyNumberFormat="1" applyFont="1" applyFill="1"/>
    <xf numFmtId="0" fontId="2" fillId="0" borderId="0" xfId="37" applyFont="1"/>
    <xf numFmtId="0" fontId="1" fillId="0" borderId="2" xfId="38" applyFont="1" applyBorder="1"/>
    <xf numFmtId="0" fontId="1" fillId="0" borderId="0" xfId="38" applyFont="1"/>
    <xf numFmtId="0" fontId="6" fillId="3" borderId="0" xfId="38" applyFill="1"/>
    <xf numFmtId="0" fontId="6" fillId="0" borderId="0" xfId="38"/>
    <xf numFmtId="1" fontId="6" fillId="3" borderId="0" xfId="38" applyNumberFormat="1" applyFill="1"/>
    <xf numFmtId="9" fontId="6" fillId="3" borderId="0" xfId="38" applyNumberFormat="1" applyFill="1"/>
    <xf numFmtId="3" fontId="6" fillId="3" borderId="0" xfId="38" applyNumberFormat="1" applyFill="1"/>
    <xf numFmtId="0" fontId="6" fillId="0" borderId="0" xfId="39" applyFont="1"/>
    <xf numFmtId="43" fontId="6" fillId="3" borderId="0" xfId="38" applyNumberFormat="1" applyFill="1"/>
    <xf numFmtId="9" fontId="2" fillId="3" borderId="0" xfId="28" applyNumberFormat="1" applyFill="1"/>
    <xf numFmtId="3" fontId="2" fillId="3" borderId="0" xfId="29" applyNumberFormat="1" applyFont="1" applyFill="1" applyBorder="1"/>
    <xf numFmtId="9" fontId="2" fillId="3" borderId="0" xfId="29" applyNumberFormat="1" applyFont="1" applyFill="1"/>
    <xf numFmtId="3" fontId="2" fillId="3" borderId="0" xfId="29" applyNumberFormat="1" applyFont="1" applyFill="1"/>
    <xf numFmtId="164" fontId="2" fillId="3" borderId="0" xfId="29" applyNumberFormat="1" applyFont="1" applyFill="1" applyBorder="1" applyAlignment="1">
      <alignment horizontal="right"/>
    </xf>
    <xf numFmtId="9" fontId="2" fillId="3" borderId="0" xfId="29" applyNumberFormat="1" applyFont="1" applyFill="1" applyBorder="1"/>
    <xf numFmtId="9" fontId="2" fillId="3" borderId="0" xfId="29" applyNumberFormat="1" applyFont="1" applyFill="1" applyBorder="1" applyAlignment="1">
      <alignment horizontal="right"/>
    </xf>
    <xf numFmtId="3" fontId="2" fillId="3" borderId="0" xfId="29" applyNumberFormat="1" applyFont="1" applyFill="1" applyBorder="1" applyAlignment="1">
      <alignment horizontal="right"/>
    </xf>
    <xf numFmtId="1" fontId="2" fillId="3" borderId="0" xfId="28" applyNumberFormat="1" applyFill="1" applyAlignment="1">
      <alignment horizontal="center"/>
    </xf>
    <xf numFmtId="1" fontId="2" fillId="3" borderId="0" xfId="28" applyNumberFormat="1" applyFill="1"/>
    <xf numFmtId="2" fontId="2" fillId="3" borderId="0" xfId="29" applyNumberFormat="1" applyFont="1" applyFill="1" applyAlignment="1"/>
    <xf numFmtId="176" fontId="2" fillId="3" borderId="0" xfId="29" applyNumberFormat="1" applyFont="1" applyFill="1" applyAlignment="1"/>
    <xf numFmtId="175" fontId="2" fillId="3" borderId="0" xfId="29" applyNumberFormat="1" applyFont="1" applyFill="1" applyAlignment="1"/>
    <xf numFmtId="175" fontId="2" fillId="3" borderId="0" xfId="29" quotePrefix="1" applyNumberFormat="1" applyFont="1" applyFill="1" applyAlignment="1"/>
    <xf numFmtId="175" fontId="2" fillId="3" borderId="0" xfId="29" applyNumberFormat="1" applyFont="1" applyFill="1"/>
    <xf numFmtId="9" fontId="2" fillId="3" borderId="0" xfId="29" applyNumberFormat="1" applyFont="1" applyFill="1" applyAlignment="1"/>
    <xf numFmtId="2" fontId="2" fillId="3" borderId="0" xfId="28" applyNumberFormat="1" applyFill="1"/>
    <xf numFmtId="9" fontId="2" fillId="3" borderId="0" xfId="36" applyFont="1" applyFill="1" applyAlignment="1"/>
    <xf numFmtId="2" fontId="2" fillId="3" borderId="0" xfId="36" applyNumberFormat="1" applyFont="1" applyFill="1" applyAlignment="1"/>
    <xf numFmtId="1" fontId="2" fillId="3" borderId="0" xfId="29" applyNumberFormat="1" applyFont="1" applyFill="1" applyAlignment="1"/>
    <xf numFmtId="1" fontId="2" fillId="3" borderId="0" xfId="36" applyNumberFormat="1" applyFont="1" applyFill="1" applyAlignment="1"/>
    <xf numFmtId="164" fontId="2" fillId="3" borderId="0" xfId="28" applyNumberFormat="1" applyFill="1"/>
    <xf numFmtId="0" fontId="2" fillId="0" borderId="1" xfId="28" applyBorder="1"/>
    <xf numFmtId="1" fontId="2" fillId="3" borderId="1" xfId="28" applyNumberFormat="1" applyFill="1" applyBorder="1"/>
    <xf numFmtId="176" fontId="2" fillId="3" borderId="1" xfId="29" applyNumberFormat="1" applyFont="1" applyFill="1" applyBorder="1" applyAlignment="1"/>
    <xf numFmtId="1" fontId="122" fillId="0" borderId="1" xfId="0" applyNumberFormat="1" applyFont="1" applyBorder="1"/>
    <xf numFmtId="164" fontId="5" fillId="0" borderId="0" xfId="0" applyNumberFormat="1" applyFont="1"/>
    <xf numFmtId="1" fontId="5" fillId="0" borderId="0" xfId="0" applyNumberFormat="1" applyFont="1"/>
    <xf numFmtId="9" fontId="0" fillId="0" borderId="1" xfId="0" applyNumberFormat="1" applyBorder="1"/>
    <xf numFmtId="3" fontId="0" fillId="0" borderId="4" xfId="0" applyNumberFormat="1" applyBorder="1"/>
    <xf numFmtId="1" fontId="0" fillId="0" borderId="1" xfId="0" applyNumberFormat="1" applyBorder="1"/>
    <xf numFmtId="0" fontId="123" fillId="0" borderId="0" xfId="0" applyFont="1"/>
    <xf numFmtId="9" fontId="0" fillId="0" borderId="0" xfId="0" applyNumberFormat="1" applyAlignment="1">
      <alignment horizontal="right"/>
    </xf>
    <xf numFmtId="0" fontId="124" fillId="0" borderId="0" xfId="0" applyFont="1"/>
    <xf numFmtId="10" fontId="24" fillId="0" borderId="0" xfId="490" applyNumberFormat="1" applyFont="1" applyFill="1" applyBorder="1" applyAlignment="1">
      <alignment horizontal="center"/>
    </xf>
    <xf numFmtId="3" fontId="24" fillId="0" borderId="0" xfId="455" applyNumberFormat="1" applyFont="1" applyAlignment="1">
      <alignment horizontal="center"/>
    </xf>
    <xf numFmtId="3" fontId="24" fillId="0" borderId="7" xfId="455" applyNumberFormat="1" applyFont="1" applyBorder="1" applyAlignment="1">
      <alignment horizontal="center"/>
    </xf>
    <xf numFmtId="0" fontId="26" fillId="0" borderId="45" xfId="455" applyFont="1" applyBorder="1" applyAlignment="1">
      <alignment horizontal="center"/>
    </xf>
    <xf numFmtId="0" fontId="26" fillId="0" borderId="47" xfId="455" applyFont="1" applyBorder="1" applyAlignment="1">
      <alignment horizontal="center"/>
    </xf>
    <xf numFmtId="2" fontId="24" fillId="0" borderId="0" xfId="487" applyNumberFormat="1" applyFont="1" applyFill="1" applyBorder="1" applyAlignment="1">
      <alignment horizontal="center"/>
    </xf>
    <xf numFmtId="2" fontId="24" fillId="0" borderId="0" xfId="455" applyNumberFormat="1" applyFont="1" applyAlignment="1">
      <alignment horizontal="center"/>
    </xf>
    <xf numFmtId="2" fontId="24" fillId="0" borderId="24" xfId="487" applyNumberFormat="1" applyFont="1" applyFill="1" applyBorder="1" applyAlignment="1">
      <alignment horizontal="center"/>
    </xf>
    <xf numFmtId="2" fontId="24" fillId="0" borderId="7" xfId="455" applyNumberFormat="1" applyFont="1" applyBorder="1" applyAlignment="1">
      <alignment horizontal="center"/>
    </xf>
    <xf numFmtId="164" fontId="24" fillId="0" borderId="44" xfId="490" applyNumberFormat="1" applyFont="1" applyFill="1" applyBorder="1" applyAlignment="1">
      <alignment horizontal="center"/>
    </xf>
    <xf numFmtId="164" fontId="24" fillId="0" borderId="26" xfId="490" applyNumberFormat="1" applyFont="1" applyFill="1" applyBorder="1" applyAlignment="1">
      <alignment horizontal="center"/>
    </xf>
    <xf numFmtId="164" fontId="24" fillId="0" borderId="46" xfId="490" applyNumberFormat="1" applyFont="1" applyFill="1" applyBorder="1" applyAlignment="1">
      <alignment horizontal="center"/>
    </xf>
    <xf numFmtId="10" fontId="123" fillId="0" borderId="0" xfId="490" applyNumberFormat="1" applyFont="1" applyFill="1" applyBorder="1" applyAlignment="1">
      <alignment horizontal="center"/>
    </xf>
    <xf numFmtId="10" fontId="123" fillId="0" borderId="7" xfId="490" applyNumberFormat="1" applyFont="1" applyFill="1" applyBorder="1" applyAlignment="1">
      <alignment horizontal="center"/>
    </xf>
    <xf numFmtId="176" fontId="3" fillId="9" borderId="0" xfId="0" applyNumberFormat="1" applyFont="1" applyFill="1"/>
    <xf numFmtId="176" fontId="3" fillId="8" borderId="0" xfId="0" applyNumberFormat="1" applyFont="1" applyFill="1"/>
    <xf numFmtId="3" fontId="3" fillId="4" borderId="0" xfId="0" applyNumberFormat="1" applyFont="1" applyFill="1"/>
    <xf numFmtId="176" fontId="2" fillId="4" borderId="0" xfId="25" applyNumberFormat="1" applyFill="1"/>
    <xf numFmtId="3" fontId="0" fillId="0" borderId="1" xfId="0" applyNumberFormat="1" applyBorder="1"/>
    <xf numFmtId="1" fontId="4" fillId="0" borderId="0" xfId="0" applyNumberFormat="1" applyFont="1"/>
    <xf numFmtId="17" fontId="0" fillId="0" borderId="1" xfId="0" applyNumberFormat="1" applyBorder="1"/>
    <xf numFmtId="164" fontId="2" fillId="0" borderId="1" xfId="24" applyNumberFormat="1" applyFont="1" applyBorder="1"/>
    <xf numFmtId="0" fontId="5" fillId="0" borderId="1" xfId="0" applyFont="1" applyBorder="1"/>
    <xf numFmtId="0" fontId="3" fillId="4" borderId="1" xfId="0" applyFont="1" applyFill="1" applyBorder="1"/>
    <xf numFmtId="176" fontId="2" fillId="0" borderId="0" xfId="23" applyNumberFormat="1" applyFont="1" applyFill="1"/>
    <xf numFmtId="3" fontId="4" fillId="0" borderId="0" xfId="0" applyNumberFormat="1" applyFont="1"/>
    <xf numFmtId="175" fontId="2" fillId="0" borderId="0" xfId="29" applyNumberFormat="1" applyFont="1"/>
    <xf numFmtId="176" fontId="2" fillId="0" borderId="0" xfId="29" applyNumberFormat="1" applyFont="1"/>
    <xf numFmtId="176" fontId="2" fillId="2" borderId="0" xfId="29" applyNumberFormat="1" applyFont="1" applyFill="1"/>
    <xf numFmtId="0" fontId="1" fillId="0" borderId="2" xfId="25" applyFont="1" applyBorder="1"/>
    <xf numFmtId="9" fontId="2" fillId="2" borderId="0" xfId="25" applyNumberFormat="1" applyFill="1"/>
    <xf numFmtId="176" fontId="2" fillId="2" borderId="0" xfId="25" applyNumberFormat="1" applyFill="1"/>
    <xf numFmtId="43" fontId="2" fillId="0" borderId="0" xfId="29" applyFont="1"/>
    <xf numFmtId="9" fontId="2" fillId="0" borderId="0" xfId="29" applyNumberFormat="1" applyFont="1"/>
    <xf numFmtId="176" fontId="1" fillId="0" borderId="0" xfId="29" applyNumberFormat="1" applyFont="1"/>
    <xf numFmtId="176" fontId="2" fillId="0" borderId="2" xfId="25" applyNumberFormat="1" applyBorder="1"/>
    <xf numFmtId="176" fontId="2" fillId="2" borderId="2" xfId="25" applyNumberFormat="1" applyFill="1" applyBorder="1"/>
    <xf numFmtId="0" fontId="2" fillId="0" borderId="2" xfId="25" applyBorder="1"/>
    <xf numFmtId="176" fontId="2" fillId="2" borderId="2" xfId="29" applyNumberFormat="1" applyFont="1" applyFill="1" applyBorder="1"/>
    <xf numFmtId="176" fontId="2" fillId="0" borderId="2" xfId="29" applyNumberFormat="1" applyFont="1" applyBorder="1"/>
    <xf numFmtId="9" fontId="2" fillId="2" borderId="0" xfId="29" applyNumberFormat="1" applyFont="1" applyFill="1"/>
    <xf numFmtId="9" fontId="2" fillId="0" borderId="0" xfId="29" applyNumberFormat="1" applyFont="1" applyFill="1"/>
    <xf numFmtId="43" fontId="2" fillId="0" borderId="0" xfId="29" applyFont="1" applyFill="1"/>
    <xf numFmtId="43" fontId="2" fillId="2" borderId="0" xfId="29" applyFont="1" applyFill="1"/>
    <xf numFmtId="176" fontId="1" fillId="2" borderId="0" xfId="29" applyNumberFormat="1" applyFont="1" applyFill="1"/>
    <xf numFmtId="176" fontId="2" fillId="0" borderId="1" xfId="25" applyNumberFormat="1" applyBorder="1"/>
    <xf numFmtId="9" fontId="2" fillId="0" borderId="1" xfId="25" applyNumberFormat="1" applyBorder="1"/>
    <xf numFmtId="176" fontId="2" fillId="2" borderId="0" xfId="29" applyNumberFormat="1" applyFont="1" applyFill="1" applyBorder="1"/>
    <xf numFmtId="175" fontId="2" fillId="2" borderId="0" xfId="29" applyNumberFormat="1" applyFont="1" applyFill="1"/>
    <xf numFmtId="176" fontId="1" fillId="2" borderId="0" xfId="25" applyNumberFormat="1" applyFont="1" applyFill="1"/>
    <xf numFmtId="176" fontId="2" fillId="4" borderId="0" xfId="29" applyNumberFormat="1" applyFont="1" applyFill="1" applyBorder="1"/>
    <xf numFmtId="176" fontId="3" fillId="2" borderId="0" xfId="0" applyNumberFormat="1" applyFont="1" applyFill="1"/>
    <xf numFmtId="9" fontId="5" fillId="0" borderId="0" xfId="0" applyNumberFormat="1" applyFont="1"/>
    <xf numFmtId="0" fontId="143" fillId="0" borderId="0" xfId="0" applyFont="1"/>
    <xf numFmtId="0" fontId="142" fillId="0" borderId="0" xfId="0" applyFont="1"/>
    <xf numFmtId="9" fontId="143" fillId="0" borderId="0" xfId="0" applyNumberFormat="1" applyFont="1"/>
    <xf numFmtId="0" fontId="124" fillId="55" borderId="0" xfId="0" applyFont="1" applyFill="1"/>
    <xf numFmtId="0" fontId="3" fillId="8" borderId="0" xfId="0" applyFont="1" applyFill="1"/>
    <xf numFmtId="1" fontId="5" fillId="4" borderId="0" xfId="0" applyNumberFormat="1" applyFont="1" applyFill="1"/>
    <xf numFmtId="164" fontId="0" fillId="0" borderId="1" xfId="0" applyNumberFormat="1" applyBorder="1"/>
    <xf numFmtId="1" fontId="3" fillId="8" borderId="0" xfId="0" applyNumberFormat="1" applyFont="1" applyFill="1"/>
    <xf numFmtId="0" fontId="146" fillId="0" borderId="1" xfId="0" applyFont="1" applyBorder="1"/>
    <xf numFmtId="0" fontId="146" fillId="0" borderId="1" xfId="0" applyFont="1" applyBorder="1" applyAlignment="1">
      <alignment horizontal="right"/>
    </xf>
    <xf numFmtId="0" fontId="146" fillId="0" borderId="0" xfId="0" applyFont="1"/>
    <xf numFmtId="3" fontId="146" fillId="0" borderId="0" xfId="0" applyNumberFormat="1" applyFont="1"/>
    <xf numFmtId="3" fontId="146" fillId="0" borderId="1" xfId="0" applyNumberFormat="1" applyFont="1" applyBorder="1"/>
    <xf numFmtId="0" fontId="146" fillId="0" borderId="0" xfId="0" quotePrefix="1" applyFont="1"/>
    <xf numFmtId="164" fontId="146" fillId="0" borderId="0" xfId="0" applyNumberFormat="1" applyFont="1"/>
    <xf numFmtId="0" fontId="146" fillId="0" borderId="1" xfId="0" quotePrefix="1" applyFont="1" applyBorder="1"/>
    <xf numFmtId="164" fontId="146" fillId="0" borderId="1" xfId="0" applyNumberFormat="1" applyFont="1" applyBorder="1"/>
    <xf numFmtId="176" fontId="5" fillId="0" borderId="0" xfId="0" applyNumberFormat="1" applyFont="1"/>
    <xf numFmtId="0" fontId="5" fillId="0" borderId="2" xfId="0" applyFont="1" applyBorder="1"/>
    <xf numFmtId="176" fontId="5" fillId="9" borderId="2" xfId="0" applyNumberFormat="1" applyFont="1" applyFill="1" applyBorder="1"/>
    <xf numFmtId="176" fontId="5" fillId="8" borderId="2" xfId="0" applyNumberFormat="1" applyFont="1" applyFill="1" applyBorder="1"/>
    <xf numFmtId="176" fontId="5" fillId="4" borderId="2" xfId="0" applyNumberFormat="1" applyFont="1" applyFill="1" applyBorder="1"/>
    <xf numFmtId="176" fontId="5" fillId="0" borderId="2" xfId="0" applyNumberFormat="1" applyFont="1" applyBorder="1"/>
    <xf numFmtId="164" fontId="5" fillId="0" borderId="2" xfId="0" applyNumberFormat="1" applyFont="1" applyBorder="1"/>
    <xf numFmtId="0" fontId="2" fillId="0" borderId="0" xfId="24" quotePrefix="1" applyFont="1"/>
    <xf numFmtId="0" fontId="2" fillId="0" borderId="1" xfId="24" quotePrefix="1" applyFont="1" applyBorder="1"/>
    <xf numFmtId="176" fontId="2" fillId="4" borderId="1" xfId="24" applyNumberFormat="1" applyFont="1" applyFill="1" applyBorder="1"/>
    <xf numFmtId="176" fontId="2" fillId="4" borderId="0" xfId="24" applyNumberFormat="1" applyFont="1" applyFill="1"/>
    <xf numFmtId="43" fontId="2" fillId="0" borderId="0" xfId="24" applyNumberFormat="1" applyFont="1"/>
    <xf numFmtId="9" fontId="2" fillId="2" borderId="1" xfId="24" applyNumberFormat="1" applyFont="1" applyFill="1" applyBorder="1"/>
    <xf numFmtId="264" fontId="2" fillId="0" borderId="0" xfId="23" applyNumberFormat="1" applyFont="1"/>
    <xf numFmtId="176" fontId="2" fillId="4" borderId="0" xfId="23" applyNumberFormat="1" applyFont="1" applyFill="1"/>
    <xf numFmtId="3" fontId="4" fillId="4" borderId="0" xfId="0" applyNumberFormat="1" applyFont="1" applyFill="1"/>
    <xf numFmtId="4" fontId="4" fillId="0" borderId="0" xfId="0" applyNumberFormat="1" applyFont="1"/>
    <xf numFmtId="3" fontId="4" fillId="0" borderId="1" xfId="0" applyNumberFormat="1" applyFont="1" applyBorder="1"/>
    <xf numFmtId="9" fontId="142" fillId="0" borderId="0" xfId="0" applyNumberFormat="1" applyFont="1"/>
    <xf numFmtId="43" fontId="3" fillId="0" borderId="0" xfId="0" applyNumberFormat="1" applyFont="1"/>
    <xf numFmtId="9" fontId="2" fillId="3" borderId="0" xfId="26" applyFont="1" applyFill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0" fontId="3" fillId="56" borderId="0" xfId="0" applyFont="1" applyFill="1"/>
    <xf numFmtId="0" fontId="2" fillId="0" borderId="49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56" borderId="15" xfId="0" applyFont="1" applyFill="1" applyBorder="1"/>
    <xf numFmtId="0" fontId="3" fillId="0" borderId="15" xfId="0" applyFont="1" applyBorder="1"/>
    <xf numFmtId="1" fontId="3" fillId="4" borderId="1" xfId="0" applyNumberFormat="1" applyFont="1" applyFill="1" applyBorder="1"/>
    <xf numFmtId="0" fontId="3" fillId="0" borderId="0" xfId="0" quotePrefix="1" applyFont="1" applyAlignment="1">
      <alignment horizontal="left"/>
    </xf>
    <xf numFmtId="16" fontId="0" fillId="0" borderId="0" xfId="0" applyNumberFormat="1" applyAlignment="1">
      <alignment horizontal="left"/>
    </xf>
    <xf numFmtId="0" fontId="147" fillId="0" borderId="0" xfId="0" applyFont="1"/>
    <xf numFmtId="3" fontId="2" fillId="0" borderId="0" xfId="29" applyNumberFormat="1" applyFont="1"/>
    <xf numFmtId="0" fontId="1" fillId="0" borderId="0" xfId="2" applyFont="1"/>
    <xf numFmtId="165" fontId="2" fillId="0" borderId="0" xfId="2" applyNumberFormat="1" applyFont="1"/>
    <xf numFmtId="0" fontId="2" fillId="0" borderId="0" xfId="2" applyFont="1" applyAlignment="1">
      <alignment horizontal="right"/>
    </xf>
    <xf numFmtId="9" fontId="2" fillId="0" borderId="1" xfId="2" applyNumberFormat="1" applyFont="1" applyBorder="1"/>
    <xf numFmtId="176" fontId="2" fillId="0" borderId="0" xfId="2" applyNumberFormat="1" applyFont="1"/>
    <xf numFmtId="165" fontId="2" fillId="4" borderId="0" xfId="25" applyNumberFormat="1" applyFill="1"/>
    <xf numFmtId="179" fontId="0" fillId="0" borderId="0" xfId="0" applyNumberFormat="1"/>
    <xf numFmtId="1" fontId="148" fillId="0" borderId="1" xfId="0" applyNumberFormat="1" applyFont="1" applyBorder="1"/>
    <xf numFmtId="164" fontId="149" fillId="0" borderId="0" xfId="0" applyNumberFormat="1" applyFont="1"/>
    <xf numFmtId="1" fontId="122" fillId="0" borderId="0" xfId="0" applyNumberFormat="1" applyFont="1"/>
    <xf numFmtId="0" fontId="3" fillId="0" borderId="48" xfId="0" applyFont="1" applyBorder="1"/>
    <xf numFmtId="0" fontId="3" fillId="56" borderId="2" xfId="0" applyFont="1" applyFill="1" applyBorder="1"/>
    <xf numFmtId="0" fontId="3" fillId="56" borderId="4" xfId="0" applyFont="1" applyFill="1" applyBorder="1"/>
    <xf numFmtId="0" fontId="150" fillId="0" borderId="0" xfId="0" applyFont="1"/>
    <xf numFmtId="17" fontId="150" fillId="0" borderId="0" xfId="0" applyNumberFormat="1" applyFont="1" applyAlignment="1">
      <alignment horizontal="left"/>
    </xf>
    <xf numFmtId="3" fontId="0" fillId="0" borderId="0" xfId="0" applyNumberFormat="1" applyAlignment="1">
      <alignment horizontal="right"/>
    </xf>
    <xf numFmtId="17" fontId="0" fillId="0" borderId="0" xfId="0" applyNumberFormat="1" applyAlignment="1">
      <alignment horizontal="left"/>
    </xf>
    <xf numFmtId="176" fontId="2" fillId="4" borderId="0" xfId="29" applyNumberFormat="1" applyFont="1" applyFill="1"/>
    <xf numFmtId="176" fontId="1" fillId="4" borderId="0" xfId="25" applyNumberFormat="1" applyFont="1" applyFill="1"/>
    <xf numFmtId="1" fontId="5" fillId="0" borderId="2" xfId="0" applyNumberFormat="1" applyFont="1" applyBorder="1"/>
    <xf numFmtId="1" fontId="148" fillId="0" borderId="0" xfId="0" applyNumberFormat="1" applyFont="1"/>
    <xf numFmtId="0" fontId="2" fillId="0" borderId="1" xfId="25" applyBorder="1" applyAlignment="1">
      <alignment horizontal="right"/>
    </xf>
    <xf numFmtId="3" fontId="2" fillId="0" borderId="0" xfId="25" applyNumberFormat="1"/>
    <xf numFmtId="3" fontId="2" fillId="0" borderId="1" xfId="25" applyNumberFormat="1" applyBorder="1"/>
    <xf numFmtId="0" fontId="146" fillId="0" borderId="0" xfId="0" applyFont="1" applyAlignment="1">
      <alignment horizontal="right"/>
    </xf>
    <xf numFmtId="3" fontId="3" fillId="0" borderId="1" xfId="0" applyNumberFormat="1" applyFont="1" applyBorder="1"/>
    <xf numFmtId="2" fontId="3" fillId="0" borderId="0" xfId="0" applyNumberFormat="1" applyFont="1"/>
    <xf numFmtId="0" fontId="151" fillId="55" borderId="0" xfId="0" applyFont="1" applyFill="1"/>
    <xf numFmtId="0" fontId="151" fillId="0" borderId="0" xfId="0" applyFont="1"/>
    <xf numFmtId="0" fontId="152" fillId="0" borderId="0" xfId="0" applyFont="1"/>
    <xf numFmtId="0" fontId="2" fillId="0" borderId="0" xfId="25" applyAlignment="1">
      <alignment horizontal="left"/>
    </xf>
    <xf numFmtId="0" fontId="153" fillId="0" borderId="0" xfId="25" quotePrefix="1" applyFont="1"/>
    <xf numFmtId="176" fontId="2" fillId="0" borderId="0" xfId="25" applyNumberFormat="1" applyAlignment="1">
      <alignment horizontal="left"/>
    </xf>
    <xf numFmtId="17" fontId="2" fillId="0" borderId="0" xfId="25" applyNumberFormat="1"/>
    <xf numFmtId="176" fontId="2" fillId="0" borderId="0" xfId="25" applyNumberFormat="1" applyAlignment="1">
      <alignment horizontal="right"/>
    </xf>
    <xf numFmtId="43" fontId="2" fillId="0" borderId="0" xfId="25" applyNumberFormat="1"/>
    <xf numFmtId="165" fontId="2" fillId="0" borderId="0" xfId="25" applyNumberFormat="1"/>
    <xf numFmtId="1" fontId="2" fillId="0" borderId="1" xfId="25" applyNumberFormat="1" applyBorder="1"/>
    <xf numFmtId="0" fontId="153" fillId="0" borderId="0" xfId="25" applyFont="1"/>
    <xf numFmtId="3" fontId="3" fillId="0" borderId="1" xfId="0" applyNumberFormat="1" applyFont="1" applyBorder="1" applyAlignment="1">
      <alignment horizontal="right"/>
    </xf>
    <xf numFmtId="17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3" fontId="0" fillId="4" borderId="0" xfId="0" applyNumberFormat="1" applyFill="1"/>
    <xf numFmtId="0" fontId="16" fillId="0" borderId="0" xfId="0" applyFont="1" applyAlignment="1">
      <alignment horizontal="left"/>
    </xf>
    <xf numFmtId="164" fontId="3" fillId="4" borderId="0" xfId="0" applyNumberFormat="1" applyFont="1" applyFill="1"/>
    <xf numFmtId="4" fontId="0" fillId="0" borderId="0" xfId="0" applyNumberFormat="1"/>
    <xf numFmtId="180" fontId="3" fillId="0" borderId="1" xfId="0" applyNumberFormat="1" applyFont="1" applyBorder="1"/>
    <xf numFmtId="0" fontId="154" fillId="0" borderId="0" xfId="0" applyFont="1"/>
    <xf numFmtId="176" fontId="2" fillId="4" borderId="1" xfId="23" applyNumberFormat="1" applyFont="1" applyFill="1" applyBorder="1"/>
    <xf numFmtId="0" fontId="5" fillId="0" borderId="0" xfId="0" applyFont="1" applyAlignment="1">
      <alignment horizontal="right"/>
    </xf>
    <xf numFmtId="2" fontId="3" fillId="4" borderId="0" xfId="0" applyNumberFormat="1" applyFont="1" applyFill="1"/>
    <xf numFmtId="3" fontId="4" fillId="0" borderId="0" xfId="0" applyNumberFormat="1" applyFont="1" applyAlignment="1">
      <alignment horizontal="right"/>
    </xf>
    <xf numFmtId="0" fontId="29" fillId="0" borderId="1" xfId="0" applyFont="1" applyBorder="1" applyAlignment="1">
      <alignment horizontal="right"/>
    </xf>
    <xf numFmtId="165" fontId="3" fillId="4" borderId="0" xfId="0" applyNumberFormat="1" applyFont="1" applyFill="1"/>
    <xf numFmtId="0" fontId="155" fillId="57" borderId="0" xfId="0" applyFont="1" applyFill="1"/>
    <xf numFmtId="10" fontId="0" fillId="0" borderId="0" xfId="0" applyNumberFormat="1"/>
    <xf numFmtId="1" fontId="3" fillId="9" borderId="0" xfId="0" applyNumberFormat="1" applyFont="1" applyFill="1"/>
    <xf numFmtId="176" fontId="5" fillId="0" borderId="4" xfId="0" applyNumberFormat="1" applyFont="1" applyBorder="1"/>
    <xf numFmtId="17" fontId="146" fillId="0" borderId="0" xfId="0" applyNumberFormat="1" applyFont="1" applyAlignment="1">
      <alignment horizontal="left"/>
    </xf>
    <xf numFmtId="17" fontId="146" fillId="0" borderId="0" xfId="0" quotePrefix="1" applyNumberFormat="1" applyFont="1" applyAlignment="1">
      <alignment horizontal="right"/>
    </xf>
    <xf numFmtId="17" fontId="146" fillId="0" borderId="1" xfId="0" applyNumberFormat="1" applyFont="1" applyBorder="1"/>
    <xf numFmtId="0" fontId="146" fillId="0" borderId="0" xfId="0" applyFont="1" applyAlignment="1">
      <alignment horizontal="left"/>
    </xf>
    <xf numFmtId="17" fontId="152" fillId="0" borderId="0" xfId="0" quotePrefix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7" fontId="16" fillId="0" borderId="0" xfId="0" applyNumberFormat="1" applyFont="1" applyAlignment="1">
      <alignment horizontal="left"/>
    </xf>
    <xf numFmtId="9" fontId="0" fillId="0" borderId="0" xfId="0" applyNumberFormat="1" applyAlignment="1">
      <alignment horizontal="left"/>
    </xf>
    <xf numFmtId="0" fontId="16" fillId="0" borderId="0" xfId="0" applyFont="1" applyAlignment="1">
      <alignment horizontal="right"/>
    </xf>
    <xf numFmtId="1" fontId="3" fillId="7" borderId="0" xfId="0" applyNumberFormat="1" applyFont="1" applyFill="1"/>
    <xf numFmtId="164" fontId="3" fillId="9" borderId="2" xfId="0" applyNumberFormat="1" applyFont="1" applyFill="1" applyBorder="1"/>
    <xf numFmtId="164" fontId="2" fillId="0" borderId="2" xfId="0" applyNumberFormat="1" applyFont="1" applyBorder="1"/>
    <xf numFmtId="265" fontId="0" fillId="0" borderId="0" xfId="0" applyNumberFormat="1"/>
    <xf numFmtId="0" fontId="0" fillId="0" borderId="1" xfId="0" quotePrefix="1" applyBorder="1"/>
    <xf numFmtId="0" fontId="0" fillId="0" borderId="0" xfId="0" quotePrefix="1" applyAlignment="1">
      <alignment horizontal="right"/>
    </xf>
    <xf numFmtId="16" fontId="0" fillId="0" borderId="0" xfId="0" quotePrefix="1" applyNumberFormat="1" applyAlignment="1">
      <alignment horizontal="right"/>
    </xf>
    <xf numFmtId="1" fontId="2" fillId="0" borderId="0" xfId="0" applyNumberFormat="1" applyFont="1"/>
    <xf numFmtId="0" fontId="152" fillId="0" borderId="0" xfId="0" applyFont="1" applyAlignment="1">
      <alignment horizontal="left"/>
    </xf>
    <xf numFmtId="17" fontId="152" fillId="0" borderId="0" xfId="0" applyNumberFormat="1" applyFont="1" applyAlignment="1">
      <alignment horizontal="left"/>
    </xf>
    <xf numFmtId="0" fontId="2" fillId="0" borderId="50" xfId="0" applyFont="1" applyBorder="1" applyAlignment="1">
      <alignment horizontal="right"/>
    </xf>
    <xf numFmtId="0" fontId="0" fillId="0" borderId="44" xfId="0" applyBorder="1"/>
    <xf numFmtId="0" fontId="2" fillId="0" borderId="51" xfId="0" quotePrefix="1" applyFont="1" applyBorder="1" applyAlignment="1">
      <alignment horizontal="right"/>
    </xf>
    <xf numFmtId="0" fontId="2" fillId="0" borderId="52" xfId="0" quotePrefix="1" applyFont="1" applyBorder="1" applyAlignment="1">
      <alignment horizontal="right"/>
    </xf>
    <xf numFmtId="0" fontId="3" fillId="56" borderId="53" xfId="0" applyFont="1" applyFill="1" applyBorder="1"/>
    <xf numFmtId="0" fontId="3" fillId="56" borderId="26" xfId="0" applyFont="1" applyFill="1" applyBorder="1"/>
    <xf numFmtId="0" fontId="3" fillId="0" borderId="53" xfId="0" applyFont="1" applyBorder="1"/>
    <xf numFmtId="0" fontId="3" fillId="0" borderId="26" xfId="0" applyFont="1" applyBorder="1"/>
    <xf numFmtId="0" fontId="3" fillId="0" borderId="54" xfId="0" applyFont="1" applyBorder="1"/>
    <xf numFmtId="9" fontId="148" fillId="0" borderId="0" xfId="0" applyNumberFormat="1" applyFont="1"/>
    <xf numFmtId="2" fontId="148" fillId="0" borderId="0" xfId="0" applyNumberFormat="1" applyFont="1"/>
    <xf numFmtId="0" fontId="3" fillId="0" borderId="55" xfId="0" applyFont="1" applyBorder="1"/>
    <xf numFmtId="0" fontId="3" fillId="56" borderId="1" xfId="0" applyFont="1" applyFill="1" applyBorder="1"/>
    <xf numFmtId="0" fontId="3" fillId="56" borderId="51" xfId="0" applyFont="1" applyFill="1" applyBorder="1"/>
    <xf numFmtId="0" fontId="3" fillId="56" borderId="52" xfId="0" applyFont="1" applyFill="1" applyBorder="1"/>
    <xf numFmtId="3" fontId="3" fillId="0" borderId="4" xfId="0" applyNumberFormat="1" applyFont="1" applyBorder="1"/>
    <xf numFmtId="0" fontId="3" fillId="0" borderId="0" xfId="0" quotePrefix="1" applyFont="1" applyAlignment="1">
      <alignment horizontal="right"/>
    </xf>
    <xf numFmtId="0" fontId="3" fillId="0" borderId="53" xfId="0" quotePrefix="1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3" fontId="3" fillId="0" borderId="46" xfId="0" applyNumberFormat="1" applyFont="1" applyBorder="1"/>
    <xf numFmtId="43" fontId="1" fillId="0" borderId="0" xfId="25" applyNumberFormat="1" applyFont="1"/>
    <xf numFmtId="3" fontId="3" fillId="4" borderId="1" xfId="0" applyNumberFormat="1" applyFont="1" applyFill="1" applyBorder="1"/>
    <xf numFmtId="4" fontId="3" fillId="4" borderId="0" xfId="0" applyNumberFormat="1" applyFont="1" applyFill="1"/>
    <xf numFmtId="4" fontId="3" fillId="0" borderId="0" xfId="0" applyNumberFormat="1" applyFont="1"/>
    <xf numFmtId="0" fontId="5" fillId="0" borderId="1" xfId="0" applyFont="1" applyBorder="1" applyAlignment="1">
      <alignment horizontal="left"/>
    </xf>
    <xf numFmtId="179" fontId="3" fillId="0" borderId="0" xfId="0" applyNumberFormat="1" applyFont="1"/>
    <xf numFmtId="3" fontId="148" fillId="0" borderId="0" xfId="0" applyNumberFormat="1" applyFont="1"/>
    <xf numFmtId="3" fontId="142" fillId="0" borderId="0" xfId="0" applyNumberFormat="1" applyFont="1"/>
    <xf numFmtId="3" fontId="156" fillId="0" borderId="0" xfId="0" applyNumberFormat="1" applyFont="1"/>
    <xf numFmtId="0" fontId="142" fillId="0" borderId="1" xfId="0" applyFont="1" applyBorder="1"/>
    <xf numFmtId="3" fontId="142" fillId="0" borderId="1" xfId="0" applyNumberFormat="1" applyFont="1" applyBorder="1"/>
    <xf numFmtId="3" fontId="156" fillId="0" borderId="1" xfId="0" applyNumberFormat="1" applyFont="1" applyBorder="1"/>
    <xf numFmtId="265" fontId="3" fillId="0" borderId="0" xfId="0" applyNumberFormat="1" applyFont="1"/>
    <xf numFmtId="266" fontId="0" fillId="0" borderId="0" xfId="0" applyNumberFormat="1"/>
    <xf numFmtId="267" fontId="3" fillId="0" borderId="0" xfId="0" applyNumberFormat="1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3" fontId="3" fillId="0" borderId="55" xfId="0" applyNumberFormat="1" applyFont="1" applyBorder="1"/>
    <xf numFmtId="267" fontId="3" fillId="4" borderId="0" xfId="0" applyNumberFormat="1" applyFont="1" applyFill="1"/>
    <xf numFmtId="0" fontId="154" fillId="0" borderId="0" xfId="0" applyFont="1" applyAlignment="1">
      <alignment horizontal="right"/>
    </xf>
    <xf numFmtId="0" fontId="157" fillId="0" borderId="0" xfId="0" quotePrefix="1" applyFont="1" applyAlignment="1">
      <alignment horizontal="right"/>
    </xf>
    <xf numFmtId="0" fontId="154" fillId="0" borderId="1" xfId="0" applyFont="1" applyBorder="1" applyAlignment="1">
      <alignment horizontal="right"/>
    </xf>
    <xf numFmtId="1" fontId="16" fillId="0" borderId="0" xfId="0" applyNumberFormat="1" applyFont="1"/>
    <xf numFmtId="164" fontId="0" fillId="0" borderId="0" xfId="0" applyNumberFormat="1" applyAlignment="1">
      <alignment horizontal="left"/>
    </xf>
    <xf numFmtId="164" fontId="124" fillId="0" borderId="1" xfId="0" applyNumberFormat="1" applyFont="1" applyBorder="1"/>
    <xf numFmtId="0" fontId="124" fillId="0" borderId="1" xfId="0" applyFont="1" applyBorder="1"/>
    <xf numFmtId="0" fontId="154" fillId="0" borderId="0" xfId="0" applyFont="1" applyAlignment="1">
      <alignment horizontal="left"/>
    </xf>
    <xf numFmtId="0" fontId="0" fillId="4" borderId="0" xfId="0" applyFill="1"/>
    <xf numFmtId="3" fontId="5" fillId="0" borderId="2" xfId="0" applyNumberFormat="1" applyFont="1" applyBorder="1"/>
    <xf numFmtId="3" fontId="122" fillId="0" borderId="0" xfId="0" applyNumberFormat="1" applyFont="1"/>
    <xf numFmtId="9" fontId="122" fillId="0" borderId="0" xfId="0" applyNumberFormat="1" applyFont="1"/>
    <xf numFmtId="164" fontId="122" fillId="0" borderId="0" xfId="0" applyNumberFormat="1" applyFont="1"/>
    <xf numFmtId="9" fontId="3" fillId="0" borderId="0" xfId="29" applyNumberFormat="1" applyFont="1" applyFill="1"/>
    <xf numFmtId="164" fontId="148" fillId="0" borderId="0" xfId="0" applyNumberFormat="1" applyFont="1"/>
    <xf numFmtId="0" fontId="2" fillId="0" borderId="56" xfId="0" applyFont="1" applyBorder="1" applyAlignment="1">
      <alignment horizontal="right"/>
    </xf>
    <xf numFmtId="0" fontId="3" fillId="56" borderId="19" xfId="0" applyFont="1" applyFill="1" applyBorder="1"/>
    <xf numFmtId="0" fontId="3" fillId="56" borderId="55" xfId="0" applyFont="1" applyFill="1" applyBorder="1"/>
    <xf numFmtId="0" fontId="2" fillId="0" borderId="57" xfId="0" quotePrefix="1" applyFont="1" applyBorder="1" applyAlignment="1">
      <alignment horizontal="right"/>
    </xf>
    <xf numFmtId="0" fontId="142" fillId="0" borderId="9" xfId="0" applyFont="1" applyBorder="1"/>
    <xf numFmtId="0" fontId="142" fillId="0" borderId="19" xfId="0" applyFont="1" applyBorder="1"/>
    <xf numFmtId="0" fontId="143" fillId="0" borderId="56" xfId="0" applyFont="1" applyBorder="1" applyAlignment="1">
      <alignment horizontal="right"/>
    </xf>
    <xf numFmtId="0" fontId="149" fillId="0" borderId="17" xfId="0" applyFont="1" applyBorder="1"/>
    <xf numFmtId="0" fontId="149" fillId="56" borderId="19" xfId="0" applyFont="1" applyFill="1" applyBorder="1"/>
    <xf numFmtId="0" fontId="149" fillId="0" borderId="19" xfId="0" applyFont="1" applyBorder="1"/>
    <xf numFmtId="0" fontId="2" fillId="0" borderId="19" xfId="0" quotePrefix="1" applyFont="1" applyBorder="1" applyAlignment="1">
      <alignment horizontal="right"/>
    </xf>
    <xf numFmtId="0" fontId="149" fillId="56" borderId="17" xfId="0" applyFont="1" applyFill="1" applyBorder="1"/>
    <xf numFmtId="0" fontId="2" fillId="56" borderId="55" xfId="0" applyFont="1" applyFill="1" applyBorder="1"/>
    <xf numFmtId="0" fontId="3" fillId="0" borderId="4" xfId="0" applyFont="1" applyBorder="1"/>
    <xf numFmtId="0" fontId="2" fillId="0" borderId="55" xfId="0" applyFont="1" applyBorder="1"/>
    <xf numFmtId="3" fontId="2" fillId="0" borderId="0" xfId="29" applyNumberFormat="1" applyFont="1" applyFill="1"/>
    <xf numFmtId="3" fontId="3" fillId="56" borderId="0" xfId="0" applyNumberFormat="1" applyFont="1" applyFill="1"/>
    <xf numFmtId="164" fontId="3" fillId="56" borderId="0" xfId="0" applyNumberFormat="1" applyFont="1" applyFill="1"/>
    <xf numFmtId="0" fontId="5" fillId="56" borderId="1" xfId="0" applyFont="1" applyFill="1" applyBorder="1"/>
    <xf numFmtId="0" fontId="160" fillId="58" borderId="7" xfId="501" applyFont="1" applyFill="1" applyBorder="1"/>
    <xf numFmtId="0" fontId="161" fillId="58" borderId="7" xfId="501" applyFont="1" applyFill="1" applyBorder="1"/>
    <xf numFmtId="0" fontId="159" fillId="0" borderId="0" xfId="501"/>
    <xf numFmtId="0" fontId="161" fillId="58" borderId="0" xfId="501" applyFont="1" applyFill="1"/>
    <xf numFmtId="0" fontId="162" fillId="58" borderId="0" xfId="501" applyFont="1" applyFill="1"/>
    <xf numFmtId="14" fontId="163" fillId="58" borderId="0" xfId="501" applyNumberFormat="1" applyFont="1" applyFill="1" applyAlignment="1">
      <alignment horizontal="left"/>
    </xf>
    <xf numFmtId="0" fontId="164" fillId="58" borderId="0" xfId="501" applyFont="1" applyFill="1"/>
    <xf numFmtId="268" fontId="161" fillId="58" borderId="0" xfId="501" applyNumberFormat="1" applyFont="1" applyFill="1"/>
    <xf numFmtId="0" fontId="165" fillId="58" borderId="0" xfId="501" applyFont="1" applyFill="1"/>
    <xf numFmtId="0" fontId="159" fillId="58" borderId="0" xfId="501" applyFill="1"/>
    <xf numFmtId="0" fontId="166" fillId="58" borderId="0" xfId="501" applyFont="1" applyFill="1"/>
    <xf numFmtId="0" fontId="164" fillId="58" borderId="0" xfId="501" quotePrefix="1" applyFont="1" applyFill="1"/>
    <xf numFmtId="0" fontId="163" fillId="58" borderId="0" xfId="501" applyFont="1" applyFill="1"/>
    <xf numFmtId="0" fontId="167" fillId="58" borderId="0" xfId="501" applyFont="1" applyFill="1"/>
    <xf numFmtId="172" fontId="161" fillId="58" borderId="0" xfId="502" applyNumberFormat="1" applyFont="1" applyFill="1"/>
    <xf numFmtId="0" fontId="163" fillId="58" borderId="0" xfId="501" applyFont="1" applyFill="1" applyAlignment="1">
      <alignment horizontal="right"/>
    </xf>
    <xf numFmtId="37" fontId="163" fillId="58" borderId="0" xfId="501" applyNumberFormat="1" applyFont="1" applyFill="1"/>
    <xf numFmtId="221" fontId="168" fillId="59" borderId="0" xfId="501" applyNumberFormat="1" applyFont="1" applyFill="1" applyAlignment="1">
      <alignment horizontal="right"/>
    </xf>
    <xf numFmtId="3" fontId="148" fillId="0" borderId="1" xfId="0" applyNumberFormat="1" applyFont="1" applyBorder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0" fontId="170" fillId="0" borderId="0" xfId="0" applyFont="1"/>
    <xf numFmtId="3" fontId="5" fillId="0" borderId="1" xfId="0" applyNumberFormat="1" applyFont="1" applyBorder="1" applyAlignment="1">
      <alignment horizontal="right"/>
    </xf>
    <xf numFmtId="2" fontId="122" fillId="0" borderId="0" xfId="0" applyNumberFormat="1" applyFont="1"/>
    <xf numFmtId="3" fontId="2" fillId="0" borderId="0" xfId="0" applyNumberFormat="1" applyFont="1"/>
    <xf numFmtId="0" fontId="3" fillId="56" borderId="0" xfId="0" quotePrefix="1" applyFont="1" applyFill="1"/>
    <xf numFmtId="0" fontId="3" fillId="56" borderId="1" xfId="0" applyFont="1" applyFill="1" applyBorder="1" applyAlignment="1">
      <alignment horizontal="right"/>
    </xf>
    <xf numFmtId="0" fontId="5" fillId="0" borderId="58" xfId="0" applyFont="1" applyBorder="1"/>
    <xf numFmtId="265" fontId="5" fillId="0" borderId="59" xfId="0" applyNumberFormat="1" applyFont="1" applyBorder="1"/>
    <xf numFmtId="0" fontId="5" fillId="56" borderId="58" xfId="0" applyFont="1" applyFill="1" applyBorder="1"/>
    <xf numFmtId="3" fontId="5" fillId="56" borderId="59" xfId="0" applyNumberFormat="1" applyFont="1" applyFill="1" applyBorder="1"/>
    <xf numFmtId="0" fontId="170" fillId="56" borderId="0" xfId="0" applyFont="1" applyFill="1"/>
    <xf numFmtId="267" fontId="3" fillId="56" borderId="0" xfId="0" applyNumberFormat="1" applyFont="1" applyFill="1"/>
    <xf numFmtId="3" fontId="3" fillId="56" borderId="1" xfId="0" applyNumberFormat="1" applyFont="1" applyFill="1" applyBorder="1"/>
    <xf numFmtId="267" fontId="5" fillId="56" borderId="59" xfId="0" applyNumberFormat="1" applyFont="1" applyFill="1" applyBorder="1"/>
    <xf numFmtId="267" fontId="5" fillId="0" borderId="59" xfId="0" applyNumberFormat="1" applyFont="1" applyBorder="1"/>
    <xf numFmtId="0" fontId="171" fillId="60" borderId="0" xfId="0" applyFont="1" applyFill="1"/>
    <xf numFmtId="3" fontId="148" fillId="4" borderId="0" xfId="0" applyNumberFormat="1" applyFont="1" applyFill="1"/>
    <xf numFmtId="0" fontId="172" fillId="0" borderId="0" xfId="0" applyFont="1"/>
    <xf numFmtId="0" fontId="173" fillId="0" borderId="0" xfId="0" applyFont="1"/>
    <xf numFmtId="0" fontId="173" fillId="0" borderId="0" xfId="0" applyFont="1" applyAlignment="1">
      <alignment horizontal="right"/>
    </xf>
    <xf numFmtId="0" fontId="173" fillId="0" borderId="1" xfId="0" applyFont="1" applyBorder="1"/>
    <xf numFmtId="0" fontId="173" fillId="0" borderId="1" xfId="0" applyFont="1" applyBorder="1" applyAlignment="1">
      <alignment horizontal="right"/>
    </xf>
    <xf numFmtId="0" fontId="174" fillId="0" borderId="0" xfId="0" applyFont="1"/>
    <xf numFmtId="3" fontId="174" fillId="0" borderId="0" xfId="0" applyNumberFormat="1" applyFont="1"/>
    <xf numFmtId="9" fontId="174" fillId="0" borderId="0" xfId="0" applyNumberFormat="1" applyFont="1"/>
    <xf numFmtId="0" fontId="174" fillId="0" borderId="0" xfId="0" quotePrefix="1" applyFont="1"/>
    <xf numFmtId="164" fontId="174" fillId="0" borderId="0" xfId="0" applyNumberFormat="1" applyFont="1"/>
    <xf numFmtId="0" fontId="172" fillId="0" borderId="1" xfId="0" applyFont="1" applyBorder="1"/>
    <xf numFmtId="0" fontId="172" fillId="0" borderId="1" xfId="0" applyFont="1" applyBorder="1" applyAlignment="1">
      <alignment horizontal="right"/>
    </xf>
    <xf numFmtId="9" fontId="172" fillId="0" borderId="0" xfId="0" applyNumberFormat="1" applyFont="1"/>
    <xf numFmtId="0" fontId="175" fillId="55" borderId="0" xfId="0" applyFont="1" applyFill="1"/>
    <xf numFmtId="9" fontId="174" fillId="0" borderId="0" xfId="0" applyNumberFormat="1" applyFont="1" applyAlignment="1">
      <alignment horizontal="right"/>
    </xf>
    <xf numFmtId="0" fontId="174" fillId="0" borderId="1" xfId="0" applyFont="1" applyBorder="1"/>
    <xf numFmtId="9" fontId="174" fillId="0" borderId="1" xfId="0" applyNumberFormat="1" applyFont="1" applyBorder="1"/>
    <xf numFmtId="0" fontId="173" fillId="55" borderId="0" xfId="0" applyFont="1" applyFill="1"/>
    <xf numFmtId="1" fontId="172" fillId="0" borderId="0" xfId="0" applyNumberFormat="1" applyFont="1"/>
    <xf numFmtId="1" fontId="174" fillId="0" borderId="0" xfId="0" applyNumberFormat="1" applyFont="1"/>
    <xf numFmtId="0" fontId="174" fillId="61" borderId="0" xfId="0" applyFont="1" applyFill="1"/>
    <xf numFmtId="3" fontId="174" fillId="61" borderId="0" xfId="0" applyNumberFormat="1" applyFont="1" applyFill="1"/>
    <xf numFmtId="9" fontId="174" fillId="61" borderId="0" xfId="0" applyNumberFormat="1" applyFont="1" applyFill="1"/>
    <xf numFmtId="0" fontId="174" fillId="61" borderId="0" xfId="0" quotePrefix="1" applyFont="1" applyFill="1"/>
    <xf numFmtId="164" fontId="174" fillId="61" borderId="0" xfId="0" applyNumberFormat="1" applyFont="1" applyFill="1"/>
    <xf numFmtId="267" fontId="174" fillId="0" borderId="1" xfId="0" applyNumberFormat="1" applyFont="1" applyBorder="1"/>
    <xf numFmtId="164" fontId="172" fillId="0" borderId="0" xfId="0" applyNumberFormat="1" applyFont="1"/>
    <xf numFmtId="1" fontId="124" fillId="0" borderId="0" xfId="0" applyNumberFormat="1" applyFont="1"/>
    <xf numFmtId="176" fontId="0" fillId="0" borderId="0" xfId="23" applyNumberFormat="1" applyFont="1"/>
    <xf numFmtId="176" fontId="0" fillId="0" borderId="0" xfId="0" applyNumberFormat="1"/>
    <xf numFmtId="176" fontId="0" fillId="0" borderId="1" xfId="23" applyNumberFormat="1" applyFont="1" applyBorder="1"/>
    <xf numFmtId="0" fontId="124" fillId="0" borderId="1" xfId="0" applyFont="1" applyBorder="1" applyAlignment="1">
      <alignment horizontal="right"/>
    </xf>
    <xf numFmtId="0" fontId="154" fillId="0" borderId="1" xfId="0" applyFont="1" applyBorder="1"/>
    <xf numFmtId="1" fontId="154" fillId="0" borderId="1" xfId="0" applyNumberFormat="1" applyFont="1" applyBorder="1"/>
    <xf numFmtId="3" fontId="3" fillId="8" borderId="0" xfId="0" applyNumberFormat="1" applyFont="1" applyFill="1"/>
    <xf numFmtId="3" fontId="3" fillId="0" borderId="34" xfId="0" applyNumberFormat="1" applyFont="1" applyBorder="1"/>
    <xf numFmtId="3" fontId="176" fillId="0" borderId="0" xfId="0" applyNumberFormat="1" applyFont="1"/>
    <xf numFmtId="3" fontId="2" fillId="4" borderId="0" xfId="0" applyNumberFormat="1" applyFont="1" applyFill="1"/>
    <xf numFmtId="1" fontId="176" fillId="0" borderId="0" xfId="0" applyNumberFormat="1" applyFont="1"/>
    <xf numFmtId="1" fontId="176" fillId="0" borderId="1" xfId="0" applyNumberFormat="1" applyFont="1" applyBorder="1"/>
    <xf numFmtId="3" fontId="3" fillId="0" borderId="0" xfId="0" applyNumberFormat="1" applyFont="1" applyAlignment="1">
      <alignment horizontal="right"/>
    </xf>
    <xf numFmtId="0" fontId="3" fillId="0" borderId="34" xfId="0" applyFont="1" applyBorder="1"/>
    <xf numFmtId="3" fontId="177" fillId="0" borderId="0" xfId="0" applyNumberFormat="1" applyFont="1"/>
    <xf numFmtId="3" fontId="177" fillId="0" borderId="1" xfId="0" applyNumberFormat="1" applyFont="1" applyBorder="1"/>
    <xf numFmtId="3" fontId="2" fillId="0" borderId="1" xfId="0" applyNumberFormat="1" applyFont="1" applyBorder="1"/>
    <xf numFmtId="0" fontId="158" fillId="0" borderId="0" xfId="0" applyFont="1"/>
    <xf numFmtId="2" fontId="176" fillId="0" borderId="0" xfId="0" applyNumberFormat="1" applyFont="1"/>
    <xf numFmtId="3" fontId="2" fillId="0" borderId="34" xfId="0" applyNumberFormat="1" applyFont="1" applyBorder="1"/>
    <xf numFmtId="0" fontId="178" fillId="0" borderId="0" xfId="0" applyFont="1"/>
    <xf numFmtId="0" fontId="1" fillId="0" borderId="1" xfId="0" applyFont="1" applyBorder="1" applyAlignment="1">
      <alignment horizontal="right"/>
    </xf>
    <xf numFmtId="1" fontId="0" fillId="0" borderId="0" xfId="0" quotePrefix="1" applyNumberFormat="1" applyAlignment="1">
      <alignment horizontal="right"/>
    </xf>
    <xf numFmtId="9" fontId="3" fillId="0" borderId="0" xfId="26" applyFont="1"/>
    <xf numFmtId="17" fontId="155" fillId="57" borderId="0" xfId="0" applyNumberFormat="1" applyFont="1" applyFill="1" applyAlignment="1">
      <alignment horizontal="left"/>
    </xf>
    <xf numFmtId="17" fontId="147" fillId="0" borderId="0" xfId="0" applyNumberFormat="1" applyFont="1" applyAlignment="1">
      <alignment horizontal="left"/>
    </xf>
    <xf numFmtId="0" fontId="179" fillId="0" borderId="0" xfId="0" applyFont="1"/>
    <xf numFmtId="17" fontId="179" fillId="0" borderId="0" xfId="0" applyNumberFormat="1" applyFont="1"/>
    <xf numFmtId="17" fontId="179" fillId="0" borderId="0" xfId="0" applyNumberFormat="1" applyFont="1" applyAlignment="1">
      <alignment horizontal="right"/>
    </xf>
    <xf numFmtId="3" fontId="179" fillId="0" borderId="0" xfId="0" applyNumberFormat="1" applyFont="1"/>
    <xf numFmtId="9" fontId="179" fillId="0" borderId="0" xfId="0" applyNumberFormat="1" applyFont="1"/>
    <xf numFmtId="0" fontId="179" fillId="0" borderId="0" xfId="0" applyFont="1" applyAlignment="1">
      <alignment horizontal="left"/>
    </xf>
    <xf numFmtId="0" fontId="180" fillId="0" borderId="0" xfId="0" applyFont="1"/>
    <xf numFmtId="0" fontId="181" fillId="0" borderId="0" xfId="0" applyFont="1"/>
    <xf numFmtId="0" fontId="181" fillId="0" borderId="0" xfId="0" applyFont="1" applyAlignment="1">
      <alignment horizontal="right"/>
    </xf>
    <xf numFmtId="0" fontId="181" fillId="0" borderId="49" xfId="0" applyFont="1" applyBorder="1" applyAlignment="1">
      <alignment horizontal="right"/>
    </xf>
    <xf numFmtId="0" fontId="180" fillId="0" borderId="1" xfId="0" applyFont="1" applyBorder="1"/>
    <xf numFmtId="0" fontId="181" fillId="0" borderId="1" xfId="0" applyFont="1" applyBorder="1" applyAlignment="1">
      <alignment horizontal="right"/>
    </xf>
    <xf numFmtId="0" fontId="181" fillId="0" borderId="1" xfId="0" quotePrefix="1" applyFont="1" applyBorder="1" applyAlignment="1">
      <alignment horizontal="right"/>
    </xf>
    <xf numFmtId="0" fontId="181" fillId="0" borderId="9" xfId="0" applyFont="1" applyBorder="1" applyAlignment="1">
      <alignment horizontal="right"/>
    </xf>
    <xf numFmtId="0" fontId="180" fillId="61" borderId="0" xfId="0" applyFont="1" applyFill="1"/>
    <xf numFmtId="0" fontId="180" fillId="61" borderId="15" xfId="0" applyFont="1" applyFill="1" applyBorder="1"/>
    <xf numFmtId="0" fontId="180" fillId="0" borderId="15" xfId="0" applyFont="1" applyBorder="1"/>
    <xf numFmtId="0" fontId="180" fillId="0" borderId="9" xfId="0" applyFont="1" applyBorder="1"/>
    <xf numFmtId="0" fontId="180" fillId="61" borderId="2" xfId="0" applyFont="1" applyFill="1" applyBorder="1"/>
    <xf numFmtId="0" fontId="180" fillId="61" borderId="4" xfId="0" applyFont="1" applyFill="1" applyBorder="1"/>
    <xf numFmtId="0" fontId="0" fillId="7" borderId="0" xfId="0" applyFill="1"/>
    <xf numFmtId="3" fontId="3" fillId="9" borderId="0" xfId="0" applyNumberFormat="1" applyFont="1" applyFill="1"/>
    <xf numFmtId="3" fontId="3" fillId="7" borderId="0" xfId="0" applyNumberFormat="1" applyFont="1" applyFill="1"/>
    <xf numFmtId="2" fontId="2" fillId="0" borderId="0" xfId="0" applyNumberFormat="1" applyFont="1"/>
    <xf numFmtId="0" fontId="1" fillId="0" borderId="0" xfId="0" applyFont="1" applyAlignment="1">
      <alignment horizontal="right"/>
    </xf>
    <xf numFmtId="1" fontId="178" fillId="0" borderId="0" xfId="0" applyNumberFormat="1" applyFont="1"/>
    <xf numFmtId="0" fontId="1" fillId="62" borderId="1" xfId="0" applyFont="1" applyFill="1" applyBorder="1" applyAlignment="1">
      <alignment horizontal="right"/>
    </xf>
    <xf numFmtId="0" fontId="5" fillId="62" borderId="1" xfId="0" applyFont="1" applyFill="1" applyBorder="1" applyAlignment="1">
      <alignment horizontal="right"/>
    </xf>
    <xf numFmtId="0" fontId="124" fillId="62" borderId="0" xfId="0" applyFont="1" applyFill="1" applyAlignment="1">
      <alignment horizontal="right"/>
    </xf>
    <xf numFmtId="164" fontId="174" fillId="59" borderId="0" xfId="0" applyNumberFormat="1" applyFont="1" applyFill="1"/>
    <xf numFmtId="3" fontId="177" fillId="63" borderId="0" xfId="0" applyNumberFormat="1" applyFont="1" applyFill="1"/>
    <xf numFmtId="164" fontId="3" fillId="4" borderId="0" xfId="26" applyNumberFormat="1" applyFont="1" applyFill="1"/>
    <xf numFmtId="164" fontId="3" fillId="0" borderId="0" xfId="26" applyNumberFormat="1" applyFont="1" applyFill="1"/>
    <xf numFmtId="0" fontId="174" fillId="59" borderId="0" xfId="0" applyFont="1" applyFill="1"/>
    <xf numFmtId="3" fontId="174" fillId="59" borderId="0" xfId="0" applyNumberFormat="1" applyFont="1" applyFill="1"/>
    <xf numFmtId="164" fontId="174" fillId="61" borderId="0" xfId="26" applyNumberFormat="1" applyFont="1" applyFill="1"/>
    <xf numFmtId="9" fontId="174" fillId="0" borderId="0" xfId="26" applyFont="1"/>
    <xf numFmtId="9" fontId="174" fillId="61" borderId="0" xfId="26" applyFont="1" applyFill="1"/>
    <xf numFmtId="9" fontId="174" fillId="59" borderId="0" xfId="26" applyFont="1" applyFill="1"/>
    <xf numFmtId="9" fontId="174" fillId="0" borderId="1" xfId="26" applyFont="1" applyBorder="1"/>
    <xf numFmtId="0" fontId="172" fillId="0" borderId="0" xfId="0" applyFont="1" applyAlignment="1">
      <alignment horizontal="right"/>
    </xf>
    <xf numFmtId="164" fontId="172" fillId="0" borderId="0" xfId="0" applyNumberFormat="1" applyFont="1" applyAlignment="1">
      <alignment horizontal="right"/>
    </xf>
    <xf numFmtId="9" fontId="172" fillId="0" borderId="0" xfId="0" applyNumberFormat="1" applyFont="1" applyAlignment="1">
      <alignment horizontal="right"/>
    </xf>
    <xf numFmtId="164" fontId="172" fillId="4" borderId="0" xfId="0" applyNumberFormat="1" applyFont="1" applyFill="1" applyAlignment="1">
      <alignment horizontal="right"/>
    </xf>
    <xf numFmtId="165" fontId="172" fillId="0" borderId="0" xfId="0" applyNumberFormat="1" applyFont="1" applyAlignment="1">
      <alignment horizontal="right"/>
    </xf>
    <xf numFmtId="164" fontId="3" fillId="61" borderId="0" xfId="0" applyNumberFormat="1" applyFont="1" applyFill="1"/>
    <xf numFmtId="3" fontId="3" fillId="63" borderId="0" xfId="0" applyNumberFormat="1" applyFont="1" applyFill="1"/>
    <xf numFmtId="3" fontId="3" fillId="4" borderId="34" xfId="0" applyNumberFormat="1" applyFont="1" applyFill="1" applyBorder="1"/>
    <xf numFmtId="0" fontId="5" fillId="64" borderId="1" xfId="0" applyFont="1" applyFill="1" applyBorder="1"/>
    <xf numFmtId="3" fontId="182" fillId="0" borderId="0" xfId="0" applyNumberFormat="1" applyFont="1"/>
    <xf numFmtId="3" fontId="182" fillId="0" borderId="34" xfId="0" applyNumberFormat="1" applyFont="1" applyBorder="1"/>
    <xf numFmtId="3" fontId="182" fillId="0" borderId="1" xfId="0" applyNumberFormat="1" applyFont="1" applyBorder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183" fillId="0" borderId="0" xfId="0" applyFont="1" applyAlignment="1">
      <alignment horizontal="left"/>
    </xf>
    <xf numFmtId="1" fontId="182" fillId="0" borderId="0" xfId="0" applyNumberFormat="1" applyFont="1"/>
    <xf numFmtId="1" fontId="182" fillId="0" borderId="1" xfId="0" applyNumberFormat="1" applyFont="1" applyBorder="1"/>
    <xf numFmtId="1" fontId="3" fillId="0" borderId="34" xfId="0" applyNumberFormat="1" applyFont="1" applyBorder="1"/>
    <xf numFmtId="3" fontId="168" fillId="0" borderId="0" xfId="0" applyNumberFormat="1" applyFont="1"/>
    <xf numFmtId="165" fontId="148" fillId="0" borderId="1" xfId="2" applyNumberFormat="1" applyFont="1" applyBorder="1"/>
    <xf numFmtId="3" fontId="148" fillId="0" borderId="1" xfId="2" applyNumberFormat="1" applyFont="1" applyBorder="1"/>
    <xf numFmtId="176" fontId="148" fillId="0" borderId="0" xfId="29" applyNumberFormat="1" applyFont="1" applyFill="1"/>
    <xf numFmtId="3" fontId="1" fillId="0" borderId="4" xfId="29" applyNumberFormat="1" applyFont="1" applyBorder="1"/>
    <xf numFmtId="17" fontId="124" fillId="0" borderId="0" xfId="0" applyNumberFormat="1" applyFont="1" applyAlignment="1">
      <alignment horizontal="left"/>
    </xf>
    <xf numFmtId="3" fontId="148" fillId="0" borderId="34" xfId="0" applyNumberFormat="1" applyFont="1" applyBorder="1"/>
    <xf numFmtId="0" fontId="23" fillId="5" borderId="0" xfId="2" applyFont="1" applyFill="1" applyAlignment="1">
      <alignment horizontal="center" vertical="center"/>
    </xf>
  </cellXfs>
  <cellStyles count="503">
    <cellStyle name="_x000a_386grabber=M" xfId="40" xr:uid="{00000000-0005-0000-0000-000000000000}"/>
    <cellStyle name="%" xfId="2" xr:uid="{00000000-0005-0000-0000-000001000000}"/>
    <cellStyle name="% 2" xfId="41" xr:uid="{00000000-0005-0000-0000-000002000000}"/>
    <cellStyle name="% 3" xfId="42" xr:uid="{00000000-0005-0000-0000-000003000000}"/>
    <cellStyle name="%_Millicom_rollforward" xfId="43" xr:uid="{00000000-0005-0000-0000-000004000000}"/>
    <cellStyle name="%_MTN WIP 1" xfId="44" xr:uid="{00000000-0005-0000-0000-000005000000}"/>
    <cellStyle name="%_VIP_WIP" xfId="45" xr:uid="{00000000-0005-0000-0000-000006000000}"/>
    <cellStyle name="%_Vodacom WIP" xfId="46" xr:uid="{00000000-0005-0000-0000-000007000000}"/>
    <cellStyle name="******************************************" xfId="47" xr:uid="{00000000-0005-0000-0000-000008000000}"/>
    <cellStyle name="?Q\?1@" xfId="48" xr:uid="{00000000-0005-0000-0000-000009000000}"/>
    <cellStyle name="_Comma" xfId="49" xr:uid="{00000000-0005-0000-0000-00000A000000}"/>
    <cellStyle name="_Currency" xfId="50" xr:uid="{00000000-0005-0000-0000-00000B000000}"/>
    <cellStyle name="_CurrencySpace" xfId="51" xr:uid="{00000000-0005-0000-0000-00000C000000}"/>
    <cellStyle name="_Innsamling" xfId="52" xr:uid="{00000000-0005-0000-0000-00000D000000}"/>
    <cellStyle name="_JP Morgan" xfId="53" xr:uid="{00000000-0005-0000-0000-00000E000000}"/>
    <cellStyle name="_Mal for innhenting av estimater Q4- 2002" xfId="54" xr:uid="{00000000-0005-0000-0000-00000F000000}"/>
    <cellStyle name="_Millicom_current" xfId="499" xr:uid="{00000000-0005-0000-0000-000010000000}"/>
    <cellStyle name="_Multiple" xfId="55" xr:uid="{00000000-0005-0000-0000-000011000000}"/>
    <cellStyle name="_MultipleSpace" xfId="56" xr:uid="{00000000-0005-0000-0000-000012000000}"/>
    <cellStyle name="_Percent" xfId="57" xr:uid="{00000000-0005-0000-0000-000013000000}"/>
    <cellStyle name="_PercentSpace" xfId="58" xr:uid="{00000000-0005-0000-0000-000014000000}"/>
    <cellStyle name="_Vodacom WIP" xfId="59" xr:uid="{00000000-0005-0000-0000-000015000000}"/>
    <cellStyle name="¤@¯ë_Sheet1 (2)" xfId="60" xr:uid="{00000000-0005-0000-0000-000016000000}"/>
    <cellStyle name="=C:\WINNT\SYSTEM32\COMMAND.COM" xfId="3" xr:uid="{00000000-0005-0000-0000-000017000000}"/>
    <cellStyle name="=C:\WINNT35\SYSTEM32\COMMAND.COM" xfId="61" xr:uid="{00000000-0005-0000-0000-000018000000}"/>
    <cellStyle name="§Q\òm1@À" xfId="62" xr:uid="{00000000-0005-0000-0000-000019000000}"/>
    <cellStyle name="•W€_VALUE" xfId="63" xr:uid="{00000000-0005-0000-0000-00001A000000}"/>
    <cellStyle name="20% - Accent1 2" xfId="456" xr:uid="{00000000-0005-0000-0000-00001B000000}"/>
    <cellStyle name="20% - Accent2 2" xfId="457" xr:uid="{00000000-0005-0000-0000-00001C000000}"/>
    <cellStyle name="20% - Accent3 2" xfId="458" xr:uid="{00000000-0005-0000-0000-00001D000000}"/>
    <cellStyle name="20% - Accent4 2" xfId="459" xr:uid="{00000000-0005-0000-0000-00001E000000}"/>
    <cellStyle name="20% - Accent5 2" xfId="460" xr:uid="{00000000-0005-0000-0000-00001F000000}"/>
    <cellStyle name="20% - Accent6 2" xfId="461" xr:uid="{00000000-0005-0000-0000-000020000000}"/>
    <cellStyle name="3f1o [0]_J-Hwang242" xfId="64" xr:uid="{00000000-0005-0000-0000-000021000000}"/>
    <cellStyle name="3f1o_J-Hwang2an" xfId="65" xr:uid="{00000000-0005-0000-0000-000022000000}"/>
    <cellStyle name="40% - Accent1 2" xfId="462" xr:uid="{00000000-0005-0000-0000-000023000000}"/>
    <cellStyle name="40% - Accent2 2" xfId="463" xr:uid="{00000000-0005-0000-0000-000024000000}"/>
    <cellStyle name="40% - Accent3 2" xfId="464" xr:uid="{00000000-0005-0000-0000-000025000000}"/>
    <cellStyle name="40% - Accent4 2" xfId="465" xr:uid="{00000000-0005-0000-0000-000026000000}"/>
    <cellStyle name="40% - Accent5 2" xfId="466" xr:uid="{00000000-0005-0000-0000-000027000000}"/>
    <cellStyle name="40% - Accent6 2" xfId="467" xr:uid="{00000000-0005-0000-0000-000028000000}"/>
    <cellStyle name="60% - Accent1 2" xfId="468" xr:uid="{00000000-0005-0000-0000-000029000000}"/>
    <cellStyle name="60% - Accent2 2" xfId="469" xr:uid="{00000000-0005-0000-0000-00002A000000}"/>
    <cellStyle name="60% - Accent3 2" xfId="470" xr:uid="{00000000-0005-0000-0000-00002B000000}"/>
    <cellStyle name="60% - Accent4 2" xfId="471" xr:uid="{00000000-0005-0000-0000-00002C000000}"/>
    <cellStyle name="60% - Accent5 2" xfId="472" xr:uid="{00000000-0005-0000-0000-00002D000000}"/>
    <cellStyle name="60% - Accent6 2" xfId="473" xr:uid="{00000000-0005-0000-0000-00002E000000}"/>
    <cellStyle name="6mal" xfId="66" xr:uid="{00000000-0005-0000-0000-00002F000000}"/>
    <cellStyle name="aaa" xfId="67" xr:uid="{00000000-0005-0000-0000-000030000000}"/>
    <cellStyle name="Accent1 2" xfId="479" xr:uid="{00000000-0005-0000-0000-000031000000}"/>
    <cellStyle name="Accent2 2" xfId="480" xr:uid="{00000000-0005-0000-0000-000032000000}"/>
    <cellStyle name="Accent3 2" xfId="481" xr:uid="{00000000-0005-0000-0000-000033000000}"/>
    <cellStyle name="Accent4 2" xfId="482" xr:uid="{00000000-0005-0000-0000-000034000000}"/>
    <cellStyle name="Accent5 2" xfId="483" xr:uid="{00000000-0005-0000-0000-000035000000}"/>
    <cellStyle name="Accent6 2" xfId="484" xr:uid="{00000000-0005-0000-0000-000036000000}"/>
    <cellStyle name="Acquisition" xfId="68" xr:uid="{00000000-0005-0000-0000-000037000000}"/>
    <cellStyle name="ÅëÈ­ [0]_TestResults" xfId="69" xr:uid="{00000000-0005-0000-0000-000038000000}"/>
    <cellStyle name="ÅëÈ­_TestResults" xfId="70" xr:uid="{00000000-0005-0000-0000-000039000000}"/>
    <cellStyle name="AFE" xfId="4" xr:uid="{00000000-0005-0000-0000-00003A000000}"/>
    <cellStyle name="ANALYST" xfId="71" xr:uid="{00000000-0005-0000-0000-00003B000000}"/>
    <cellStyle name="Année" xfId="72" xr:uid="{00000000-0005-0000-0000-00003C000000}"/>
    <cellStyle name="Année (e)" xfId="73" xr:uid="{00000000-0005-0000-0000-00003D000000}"/>
    <cellStyle name="args.style" xfId="74" xr:uid="{00000000-0005-0000-0000-00003E000000}"/>
    <cellStyle name="Arial 10" xfId="75" xr:uid="{00000000-0005-0000-0000-00003F000000}"/>
    <cellStyle name="Arial 12" xfId="76" xr:uid="{00000000-0005-0000-0000-000040000000}"/>
    <cellStyle name="Assumption" xfId="77" xr:uid="{00000000-0005-0000-0000-000041000000}"/>
    <cellStyle name="Assumptions" xfId="78" xr:uid="{00000000-0005-0000-0000-000042000000}"/>
    <cellStyle name="ÄÞ¸¶ [0]_TestResults" xfId="79" xr:uid="{00000000-0005-0000-0000-000043000000}"/>
    <cellStyle name="ÄÞ¸¶_TestResults" xfId="80" xr:uid="{00000000-0005-0000-0000-000044000000}"/>
    <cellStyle name="auf tausender" xfId="81" xr:uid="{00000000-0005-0000-0000-000045000000}"/>
    <cellStyle name="Availability" xfId="82" xr:uid="{00000000-0005-0000-0000-000046000000}"/>
    <cellStyle name="Bad 2" xfId="486" xr:uid="{00000000-0005-0000-0000-000047000000}"/>
    <cellStyle name="BalanceSheet" xfId="83" xr:uid="{00000000-0005-0000-0000-000048000000}"/>
    <cellStyle name="BlackTitle" xfId="84" xr:uid="{00000000-0005-0000-0000-000049000000}"/>
    <cellStyle name="Blank" xfId="85" xr:uid="{00000000-0005-0000-0000-00004A000000}"/>
    <cellStyle name="block" xfId="86" xr:uid="{00000000-0005-0000-0000-00004B000000}"/>
    <cellStyle name="Blue" xfId="87" xr:uid="{00000000-0005-0000-0000-00004C000000}"/>
    <cellStyle name="British Pound" xfId="88" xr:uid="{00000000-0005-0000-0000-00004D000000}"/>
    <cellStyle name="Ç¥ÁØ_TestResults" xfId="89" xr:uid="{00000000-0005-0000-0000-00004E000000}"/>
    <cellStyle name="Calcul" xfId="90" xr:uid="{00000000-0005-0000-0000-00004F000000}"/>
    <cellStyle name="Calculation 2" xfId="475" xr:uid="{00000000-0005-0000-0000-000050000000}"/>
    <cellStyle name="CashFlow" xfId="91" xr:uid="{00000000-0005-0000-0000-000051000000}"/>
    <cellStyle name="category" xfId="92" xr:uid="{00000000-0005-0000-0000-000052000000}"/>
    <cellStyle name="Changeable" xfId="93" xr:uid="{00000000-0005-0000-0000-000053000000}"/>
    <cellStyle name="Check Cell 2" xfId="476" xr:uid="{00000000-0005-0000-0000-000054000000}"/>
    <cellStyle name="Checksum" xfId="94" xr:uid="{00000000-0005-0000-0000-000055000000}"/>
    <cellStyle name="ColHeading" xfId="95" xr:uid="{00000000-0005-0000-0000-000056000000}"/>
    <cellStyle name="Column Heading" xfId="96" xr:uid="{00000000-0005-0000-0000-000057000000}"/>
    <cellStyle name="Column Heading (No Wrap)" xfId="97" xr:uid="{00000000-0005-0000-0000-000058000000}"/>
    <cellStyle name="Column Heading_SHEET" xfId="98" xr:uid="{00000000-0005-0000-0000-000059000000}"/>
    <cellStyle name="Column label" xfId="99" xr:uid="{00000000-0005-0000-0000-00005A000000}"/>
    <cellStyle name="Column label (left aligned)" xfId="100" xr:uid="{00000000-0005-0000-0000-00005B000000}"/>
    <cellStyle name="Column label (no wrap)" xfId="101" xr:uid="{00000000-0005-0000-0000-00005C000000}"/>
    <cellStyle name="Column label (not bold)" xfId="102" xr:uid="{00000000-0005-0000-0000-00005D000000}"/>
    <cellStyle name="Column label_sheet" xfId="103" xr:uid="{00000000-0005-0000-0000-00005E000000}"/>
    <cellStyle name="Column Total" xfId="104" xr:uid="{00000000-0005-0000-0000-00005F000000}"/>
    <cellStyle name="Comma" xfId="23" builtinId="3"/>
    <cellStyle name="comma - number" xfId="105" xr:uid="{00000000-0005-0000-0000-000061000000}"/>
    <cellStyle name="Comma [2]" xfId="106" xr:uid="{00000000-0005-0000-0000-000062000000}"/>
    <cellStyle name="Comma 0" xfId="107" xr:uid="{00000000-0005-0000-0000-000063000000}"/>
    <cellStyle name="Comma 2" xfId="29" xr:uid="{00000000-0005-0000-0000-000064000000}"/>
    <cellStyle name="Comma 3" xfId="108" xr:uid="{00000000-0005-0000-0000-000065000000}"/>
    <cellStyle name="Comma 3 2" xfId="502" xr:uid="{F65BB82C-D8CB-4D3D-8EFA-1B00C808F27C}"/>
    <cellStyle name="Comma 4" xfId="487" xr:uid="{00000000-0005-0000-0000-000066000000}"/>
    <cellStyle name="Comma(1)" xfId="109" xr:uid="{00000000-0005-0000-0000-000067000000}"/>
    <cellStyle name="Comma, 1 dec" xfId="110" xr:uid="{00000000-0005-0000-0000-000068000000}"/>
    <cellStyle name="Comma_BT3" xfId="30" xr:uid="{00000000-0005-0000-0000-000069000000}"/>
    <cellStyle name="Comma0" xfId="111" xr:uid="{00000000-0005-0000-0000-00006A000000}"/>
    <cellStyle name="Company" xfId="112" xr:uid="{00000000-0005-0000-0000-00006B000000}"/>
    <cellStyle name="Cover Date" xfId="113" xr:uid="{00000000-0005-0000-0000-00006C000000}"/>
    <cellStyle name="Cover Subtitle" xfId="114" xr:uid="{00000000-0005-0000-0000-00006D000000}"/>
    <cellStyle name="Cover Title" xfId="115" xr:uid="{00000000-0005-0000-0000-00006E000000}"/>
    <cellStyle name="CurRatio" xfId="116" xr:uid="{00000000-0005-0000-0000-00006F000000}"/>
    <cellStyle name="Currency - Euro" xfId="117" xr:uid="{00000000-0005-0000-0000-000070000000}"/>
    <cellStyle name="Currency (2dp)" xfId="118" xr:uid="{00000000-0005-0000-0000-000071000000}"/>
    <cellStyle name="Currency [0] - Euro" xfId="119" xr:uid="{00000000-0005-0000-0000-000072000000}"/>
    <cellStyle name="Currency [1]" xfId="120" xr:uid="{00000000-0005-0000-0000-000073000000}"/>
    <cellStyle name="Currency [2]" xfId="5" xr:uid="{00000000-0005-0000-0000-000074000000}"/>
    <cellStyle name="Currency 0" xfId="121" xr:uid="{00000000-0005-0000-0000-000075000000}"/>
    <cellStyle name="Currency 2" xfId="122" xr:uid="{00000000-0005-0000-0000-000076000000}"/>
    <cellStyle name="Currency Dollar" xfId="123" xr:uid="{00000000-0005-0000-0000-000077000000}"/>
    <cellStyle name="Currency Dollar (2dp)" xfId="124" xr:uid="{00000000-0005-0000-0000-000078000000}"/>
    <cellStyle name="Currency EUR" xfId="125" xr:uid="{00000000-0005-0000-0000-000079000000}"/>
    <cellStyle name="Currency EUR (2dp)" xfId="126" xr:uid="{00000000-0005-0000-0000-00007A000000}"/>
    <cellStyle name="Currency Euro" xfId="127" xr:uid="{00000000-0005-0000-0000-00007B000000}"/>
    <cellStyle name="Currency Euro (2dp)" xfId="128" xr:uid="{00000000-0005-0000-0000-00007C000000}"/>
    <cellStyle name="Currency GBP" xfId="129" xr:uid="{00000000-0005-0000-0000-00007D000000}"/>
    <cellStyle name="Currency GBP (2dp)" xfId="130" xr:uid="{00000000-0005-0000-0000-00007E000000}"/>
    <cellStyle name="Currency Pound" xfId="131" xr:uid="{00000000-0005-0000-0000-00007F000000}"/>
    <cellStyle name="Currency Pound (2dp)" xfId="132" xr:uid="{00000000-0005-0000-0000-000080000000}"/>
    <cellStyle name="Currency USD" xfId="133" xr:uid="{00000000-0005-0000-0000-000081000000}"/>
    <cellStyle name="Currency USD (2dp)" xfId="134" xr:uid="{00000000-0005-0000-0000-000082000000}"/>
    <cellStyle name="Currency0" xfId="135" xr:uid="{00000000-0005-0000-0000-000083000000}"/>
    <cellStyle name="CustomStyle1" xfId="6" xr:uid="{00000000-0005-0000-0000-000084000000}"/>
    <cellStyle name="CustomStyle10" xfId="7" xr:uid="{00000000-0005-0000-0000-000085000000}"/>
    <cellStyle name="CustomStyle15" xfId="8" xr:uid="{00000000-0005-0000-0000-000086000000}"/>
    <cellStyle name="Date" xfId="9" xr:uid="{00000000-0005-0000-0000-000087000000}"/>
    <cellStyle name="Date (Month)" xfId="136" xr:uid="{00000000-0005-0000-0000-000088000000}"/>
    <cellStyle name="Date (Year)" xfId="137" xr:uid="{00000000-0005-0000-0000-000089000000}"/>
    <cellStyle name="Date [d-mmm-yy]" xfId="138" xr:uid="{00000000-0005-0000-0000-00008A000000}"/>
    <cellStyle name="Date [mm-d-yy]" xfId="139" xr:uid="{00000000-0005-0000-0000-00008B000000}"/>
    <cellStyle name="Date [mm-d-yyyy]" xfId="140" xr:uid="{00000000-0005-0000-0000-00008C000000}"/>
    <cellStyle name="Date [mmm-d-yyyy]" xfId="141" xr:uid="{00000000-0005-0000-0000-00008D000000}"/>
    <cellStyle name="Date [mmm-yy]" xfId="142" xr:uid="{00000000-0005-0000-0000-00008E000000}"/>
    <cellStyle name="Date [mmm-yyyy]" xfId="143" xr:uid="{00000000-0005-0000-0000-00008F000000}"/>
    <cellStyle name="Date Aligned" xfId="144" xr:uid="{00000000-0005-0000-0000-000090000000}"/>
    <cellStyle name="Date_BT2" xfId="145" xr:uid="{00000000-0005-0000-0000-000091000000}"/>
    <cellStyle name="Date2" xfId="146" xr:uid="{00000000-0005-0000-0000-000092000000}"/>
    <cellStyle name="Dates" xfId="147" xr:uid="{00000000-0005-0000-0000-000093000000}"/>
    <cellStyle name="DateYear" xfId="148" xr:uid="{00000000-0005-0000-0000-000094000000}"/>
    <cellStyle name="Déprotégée" xfId="149" xr:uid="{00000000-0005-0000-0000-000095000000}"/>
    <cellStyle name="Devise" xfId="150" xr:uid="{00000000-0005-0000-0000-000096000000}"/>
    <cellStyle name="Dezimal (0.0)" xfId="151" xr:uid="{00000000-0005-0000-0000-000097000000}"/>
    <cellStyle name="Diseño" xfId="10" xr:uid="{00000000-0005-0000-0000-000098000000}"/>
    <cellStyle name="Dollar" xfId="152" xr:uid="{00000000-0005-0000-0000-000099000000}"/>
    <cellStyle name="dollars" xfId="153" xr:uid="{00000000-0005-0000-0000-00009A000000}"/>
    <cellStyle name="DollarWhole" xfId="154" xr:uid="{00000000-0005-0000-0000-00009B000000}"/>
    <cellStyle name="Dotted Line" xfId="155" xr:uid="{00000000-0005-0000-0000-00009C000000}"/>
    <cellStyle name="Double Accounting" xfId="156" xr:uid="{00000000-0005-0000-0000-00009D000000}"/>
    <cellStyle name="Driver" xfId="157" xr:uid="{00000000-0005-0000-0000-00009E000000}"/>
    <cellStyle name="Driver Lable" xfId="158" xr:uid="{00000000-0005-0000-0000-00009F000000}"/>
    <cellStyle name="drivers" xfId="159" xr:uid="{00000000-0005-0000-0000-0000A0000000}"/>
    <cellStyle name="Entités" xfId="160" xr:uid="{00000000-0005-0000-0000-0000A1000000}"/>
    <cellStyle name="EPS" xfId="161" xr:uid="{00000000-0005-0000-0000-0000A2000000}"/>
    <cellStyle name="EPSActual" xfId="162" xr:uid="{00000000-0005-0000-0000-0000A3000000}"/>
    <cellStyle name="EPSEstimate" xfId="163" xr:uid="{00000000-0005-0000-0000-0000A4000000}"/>
    <cellStyle name="Est - $" xfId="164" xr:uid="{00000000-0005-0000-0000-0000A5000000}"/>
    <cellStyle name="Est - %" xfId="165" xr:uid="{00000000-0005-0000-0000-0000A6000000}"/>
    <cellStyle name="Est 0,000.0" xfId="166" xr:uid="{00000000-0005-0000-0000-0000A7000000}"/>
    <cellStyle name="Estilo 1" xfId="11" xr:uid="{00000000-0005-0000-0000-0000A8000000}"/>
    <cellStyle name="Euro" xfId="12" xr:uid="{00000000-0005-0000-0000-0000A9000000}"/>
    <cellStyle name="Euro 2" xfId="167" xr:uid="{00000000-0005-0000-0000-0000AA000000}"/>
    <cellStyle name="Explanatory Text 2" xfId="493" xr:uid="{00000000-0005-0000-0000-0000AB000000}"/>
    <cellStyle name="fact_Feuil1 (8)" xfId="168" xr:uid="{00000000-0005-0000-0000-0000AC000000}"/>
    <cellStyle name="Fail" xfId="169" xr:uid="{00000000-0005-0000-0000-0000AD000000}"/>
    <cellStyle name="FF_EURO" xfId="170" xr:uid="{00000000-0005-0000-0000-0000AE000000}"/>
    <cellStyle name="FiscalPeriod" xfId="171" xr:uid="{00000000-0005-0000-0000-0000AF000000}"/>
    <cellStyle name="Fixed" xfId="172" xr:uid="{00000000-0005-0000-0000-0000B0000000}"/>
    <cellStyle name="Fixed [0]" xfId="173" xr:uid="{00000000-0005-0000-0000-0000B1000000}"/>
    <cellStyle name="fo]_x000d__x000a_UserName=Murat Zelef_x000d__x000a_UserCompany=Bumerang_x000d__x000a__x000d__x000a_[File Paths]_x000d__x000a_WorkingDirectory=C:\EQUIS\DLWIN_x000d__x000a_DownLoader=C" xfId="174" xr:uid="{00000000-0005-0000-0000-0000B2000000}"/>
    <cellStyle name="Följde hyperlänken" xfId="175" xr:uid="{00000000-0005-0000-0000-0000B3000000}"/>
    <cellStyle name="Footer SBILogo1" xfId="176" xr:uid="{00000000-0005-0000-0000-0000B4000000}"/>
    <cellStyle name="Footer SBILogo2" xfId="177" xr:uid="{00000000-0005-0000-0000-0000B5000000}"/>
    <cellStyle name="Footnote" xfId="178" xr:uid="{00000000-0005-0000-0000-0000B6000000}"/>
    <cellStyle name="Footnote Reference" xfId="179" xr:uid="{00000000-0005-0000-0000-0000B7000000}"/>
    <cellStyle name="Footnote_Innsamling" xfId="180" xr:uid="{00000000-0005-0000-0000-0000B8000000}"/>
    <cellStyle name="front page small" xfId="181" xr:uid="{00000000-0005-0000-0000-0000B9000000}"/>
    <cellStyle name="General" xfId="182" xr:uid="{00000000-0005-0000-0000-0000BA000000}"/>
    <cellStyle name="Good 2" xfId="474" xr:uid="{00000000-0005-0000-0000-0000BB000000}"/>
    <cellStyle name="Grey" xfId="183" xr:uid="{00000000-0005-0000-0000-0000BC000000}"/>
    <cellStyle name="GrowthRate" xfId="184" xr:uid="{00000000-0005-0000-0000-0000BD000000}"/>
    <cellStyle name="GrowthSeq" xfId="185" xr:uid="{00000000-0005-0000-0000-0000BE000000}"/>
    <cellStyle name="H0" xfId="186" xr:uid="{00000000-0005-0000-0000-0000BF000000}"/>
    <cellStyle name="H1" xfId="187" xr:uid="{00000000-0005-0000-0000-0000C0000000}"/>
    <cellStyle name="H2" xfId="188" xr:uid="{00000000-0005-0000-0000-0000C1000000}"/>
    <cellStyle name="H3" xfId="189" xr:uid="{00000000-0005-0000-0000-0000C2000000}"/>
    <cellStyle name="H4" xfId="190" xr:uid="{00000000-0005-0000-0000-0000C3000000}"/>
    <cellStyle name="haeding 2" xfId="191" xr:uid="{00000000-0005-0000-0000-0000C4000000}"/>
    <cellStyle name="Hard" xfId="192" xr:uid="{00000000-0005-0000-0000-0000C5000000}"/>
    <cellStyle name="Hard input" xfId="193" xr:uid="{00000000-0005-0000-0000-0000C6000000}"/>
    <cellStyle name="hard no." xfId="194" xr:uid="{00000000-0005-0000-0000-0000C7000000}"/>
    <cellStyle name="Hard Percent" xfId="195" xr:uid="{00000000-0005-0000-0000-0000C8000000}"/>
    <cellStyle name="head2" xfId="196" xr:uid="{00000000-0005-0000-0000-0000C9000000}"/>
    <cellStyle name="Header" xfId="197" xr:uid="{00000000-0005-0000-0000-0000CA000000}"/>
    <cellStyle name="Header Draft Stamp" xfId="198" xr:uid="{00000000-0005-0000-0000-0000CB000000}"/>
    <cellStyle name="Header_Innsamling" xfId="199" xr:uid="{00000000-0005-0000-0000-0000CC000000}"/>
    <cellStyle name="Heading" xfId="200" xr:uid="{00000000-0005-0000-0000-0000CD000000}"/>
    <cellStyle name="Heading 1 2" xfId="13" xr:uid="{00000000-0005-0000-0000-0000CE000000}"/>
    <cellStyle name="Heading 1 3" xfId="495" xr:uid="{00000000-0005-0000-0000-0000CF000000}"/>
    <cellStyle name="Heading 1 Above" xfId="201" xr:uid="{00000000-0005-0000-0000-0000D0000000}"/>
    <cellStyle name="Heading 1+" xfId="202" xr:uid="{00000000-0005-0000-0000-0000D1000000}"/>
    <cellStyle name="Heading 2 2" xfId="14" xr:uid="{00000000-0005-0000-0000-0000D2000000}"/>
    <cellStyle name="Heading 2 3" xfId="496" xr:uid="{00000000-0005-0000-0000-0000D3000000}"/>
    <cellStyle name="Heading 2 Below" xfId="203" xr:uid="{00000000-0005-0000-0000-0000D4000000}"/>
    <cellStyle name="Heading 2+" xfId="204" xr:uid="{00000000-0005-0000-0000-0000D5000000}"/>
    <cellStyle name="Heading 3 2" xfId="15" xr:uid="{00000000-0005-0000-0000-0000D6000000}"/>
    <cellStyle name="Heading 3 3" xfId="497" xr:uid="{00000000-0005-0000-0000-0000D7000000}"/>
    <cellStyle name="Heading 3+" xfId="205" xr:uid="{00000000-0005-0000-0000-0000D8000000}"/>
    <cellStyle name="Heading 4 2" xfId="478" xr:uid="{00000000-0005-0000-0000-0000D9000000}"/>
    <cellStyle name="Heading 5" xfId="206" xr:uid="{00000000-0005-0000-0000-0000DA000000}"/>
    <cellStyle name="Hidden" xfId="207" xr:uid="{00000000-0005-0000-0000-0000DB000000}"/>
    <cellStyle name="Highlight" xfId="208" xr:uid="{00000000-0005-0000-0000-0000DC000000}"/>
    <cellStyle name="Hist inmatning" xfId="209" xr:uid="{00000000-0005-0000-0000-0000DD000000}"/>
    <cellStyle name="Hyperlänk" xfId="210" xr:uid="{00000000-0005-0000-0000-0000DE000000}"/>
    <cellStyle name="Hyperlink 2" xfId="211" xr:uid="{00000000-0005-0000-0000-0000DF000000}"/>
    <cellStyle name="IncomeStatement" xfId="212" xr:uid="{00000000-0005-0000-0000-0000E0000000}"/>
    <cellStyle name="InLink" xfId="213" xr:uid="{00000000-0005-0000-0000-0000E1000000}"/>
    <cellStyle name="Input [yellow]" xfId="214" xr:uid="{00000000-0005-0000-0000-0000E2000000}"/>
    <cellStyle name="Input 2" xfId="485" xr:uid="{00000000-0005-0000-0000-0000E3000000}"/>
    <cellStyle name="Input calculation" xfId="215" xr:uid="{00000000-0005-0000-0000-0000E4000000}"/>
    <cellStyle name="Input Cells" xfId="216" xr:uid="{00000000-0005-0000-0000-0000E5000000}"/>
    <cellStyle name="Input Currency" xfId="217" xr:uid="{00000000-0005-0000-0000-0000E6000000}"/>
    <cellStyle name="Input data" xfId="218" xr:uid="{00000000-0005-0000-0000-0000E7000000}"/>
    <cellStyle name="Input Date" xfId="219" xr:uid="{00000000-0005-0000-0000-0000E8000000}"/>
    <cellStyle name="Input estimate" xfId="220" xr:uid="{00000000-0005-0000-0000-0000E9000000}"/>
    <cellStyle name="Input Fixed [0]" xfId="221" xr:uid="{00000000-0005-0000-0000-0000EA000000}"/>
    <cellStyle name="Input link" xfId="222" xr:uid="{00000000-0005-0000-0000-0000EB000000}"/>
    <cellStyle name="Input link (different workbook)" xfId="223" xr:uid="{00000000-0005-0000-0000-0000EC000000}"/>
    <cellStyle name="Input Link_Copy of ESA5 ForecastScaling" xfId="224" xr:uid="{00000000-0005-0000-0000-0000ED000000}"/>
    <cellStyle name="Input Normal" xfId="225" xr:uid="{00000000-0005-0000-0000-0000EE000000}"/>
    <cellStyle name="Input parameter" xfId="226" xr:uid="{00000000-0005-0000-0000-0000EF000000}"/>
    <cellStyle name="Input Percent" xfId="227" xr:uid="{00000000-0005-0000-0000-0000F0000000}"/>
    <cellStyle name="Input Percent [2]" xfId="228" xr:uid="{00000000-0005-0000-0000-0000F1000000}"/>
    <cellStyle name="Input Percent_Book1" xfId="229" xr:uid="{00000000-0005-0000-0000-0000F2000000}"/>
    <cellStyle name="Input Titles" xfId="230" xr:uid="{00000000-0005-0000-0000-0000F3000000}"/>
    <cellStyle name="Input%" xfId="231" xr:uid="{00000000-0005-0000-0000-0000F4000000}"/>
    <cellStyle name="Input0dec" xfId="232" xr:uid="{00000000-0005-0000-0000-0000F5000000}"/>
    <cellStyle name="Input2dec" xfId="233" xr:uid="{00000000-0005-0000-0000-0000F6000000}"/>
    <cellStyle name="InputBlueFont" xfId="234" xr:uid="{00000000-0005-0000-0000-0000F7000000}"/>
    <cellStyle name="InputDate" xfId="235" xr:uid="{00000000-0005-0000-0000-0000F8000000}"/>
    <cellStyle name="InputDecimal" xfId="236" xr:uid="{00000000-0005-0000-0000-0000F9000000}"/>
    <cellStyle name="InputValue" xfId="237" xr:uid="{00000000-0005-0000-0000-0000FA000000}"/>
    <cellStyle name="Integer" xfId="238" xr:uid="{00000000-0005-0000-0000-0000FB000000}"/>
    <cellStyle name="Item" xfId="239" xr:uid="{00000000-0005-0000-0000-0000FC000000}"/>
    <cellStyle name="Items_Optional" xfId="240" xr:uid="{00000000-0005-0000-0000-0000FD000000}"/>
    <cellStyle name="ItemTypeClass" xfId="241" xr:uid="{00000000-0005-0000-0000-0000FE000000}"/>
    <cellStyle name="James" xfId="242" xr:uid="{00000000-0005-0000-0000-0000FF000000}"/>
    <cellStyle name="kopregel" xfId="243" xr:uid="{00000000-0005-0000-0000-000000010000}"/>
    <cellStyle name="Libellés" xfId="244" xr:uid="{00000000-0005-0000-0000-000001010000}"/>
    <cellStyle name="Linked" xfId="245" xr:uid="{00000000-0005-0000-0000-000002010000}"/>
    <cellStyle name="Linked Cell 2" xfId="477" xr:uid="{00000000-0005-0000-0000-000003010000}"/>
    <cellStyle name="Linked Cells" xfId="246" xr:uid="{00000000-0005-0000-0000-000004010000}"/>
    <cellStyle name="Locked" xfId="247" xr:uid="{00000000-0005-0000-0000-000005010000}"/>
    <cellStyle name="Main Title" xfId="248" xr:uid="{00000000-0005-0000-0000-000006010000}"/>
    <cellStyle name="margenta-f" xfId="249" xr:uid="{00000000-0005-0000-0000-000007010000}"/>
    <cellStyle name="Margin" xfId="250" xr:uid="{00000000-0005-0000-0000-000008010000}"/>
    <cellStyle name="Margins" xfId="251" xr:uid="{00000000-0005-0000-0000-000009010000}"/>
    <cellStyle name="MetricLabel" xfId="252" xr:uid="{00000000-0005-0000-0000-00000A010000}"/>
    <cellStyle name="MetricLabelBlue" xfId="253" xr:uid="{00000000-0005-0000-0000-00000B010000}"/>
    <cellStyle name="MetricValue" xfId="254" xr:uid="{00000000-0005-0000-0000-00000C010000}"/>
    <cellStyle name="Migliaia_Foglio1" xfId="255" xr:uid="{00000000-0005-0000-0000-00000D010000}"/>
    <cellStyle name="Millares [0]_96 Risk" xfId="256" xr:uid="{00000000-0005-0000-0000-00000E010000}"/>
    <cellStyle name="Millares_96 Risk" xfId="257" xr:uid="{00000000-0005-0000-0000-00000F010000}"/>
    <cellStyle name="Milliers [0]_Aimants permanents" xfId="258" xr:uid="{00000000-0005-0000-0000-000010010000}"/>
    <cellStyle name="Milliers [00]" xfId="259" xr:uid="{00000000-0005-0000-0000-000011010000}"/>
    <cellStyle name="Milliers_Aimants permanents" xfId="260" xr:uid="{00000000-0005-0000-0000-000012010000}"/>
    <cellStyle name="mine" xfId="261" xr:uid="{00000000-0005-0000-0000-000013010000}"/>
    <cellStyle name="Model" xfId="262" xr:uid="{00000000-0005-0000-0000-000014010000}"/>
    <cellStyle name="Moeda [0]_Intx SMS Vivo x Outras Operadoras" xfId="16" xr:uid="{00000000-0005-0000-0000-000015010000}"/>
    <cellStyle name="Moeda_Intx SMS Vivo x Outras Operadoras" xfId="17" xr:uid="{00000000-0005-0000-0000-000016010000}"/>
    <cellStyle name="Moneda [0]_96 Risk" xfId="263" xr:uid="{00000000-0005-0000-0000-000017010000}"/>
    <cellStyle name="Moneda_96 Risk" xfId="264" xr:uid="{00000000-0005-0000-0000-000018010000}"/>
    <cellStyle name="Monétaire [0]_Aimants permanents" xfId="265" xr:uid="{00000000-0005-0000-0000-000019010000}"/>
    <cellStyle name="Monétaire [00]" xfId="266" xr:uid="{00000000-0005-0000-0000-00001A010000}"/>
    <cellStyle name="Monétaire_Aimants permanents" xfId="267" xr:uid="{00000000-0005-0000-0000-00001B010000}"/>
    <cellStyle name="Multiple" xfId="268" xr:uid="{00000000-0005-0000-0000-00001C010000}"/>
    <cellStyle name="NA is zero" xfId="269" xr:uid="{00000000-0005-0000-0000-00001D010000}"/>
    <cellStyle name="Name" xfId="270" xr:uid="{00000000-0005-0000-0000-00001E010000}"/>
    <cellStyle name="neg0.0" xfId="271" xr:uid="{00000000-0005-0000-0000-00001F010000}"/>
    <cellStyle name="Neutral 2" xfId="488" xr:uid="{00000000-0005-0000-0000-000020010000}"/>
    <cellStyle name="no dec" xfId="272" xr:uid="{00000000-0005-0000-0000-000021010000}"/>
    <cellStyle name="Normal" xfId="0" builtinId="0"/>
    <cellStyle name="Normal - Style1" xfId="273" xr:uid="{00000000-0005-0000-0000-000023010000}"/>
    <cellStyle name="Normal (no,)" xfId="18" xr:uid="{00000000-0005-0000-0000-000024010000}"/>
    <cellStyle name="Normal [0]" xfId="274" xr:uid="{00000000-0005-0000-0000-000025010000}"/>
    <cellStyle name="Normal [1]" xfId="275" xr:uid="{00000000-0005-0000-0000-000026010000}"/>
    <cellStyle name="Normal [2]" xfId="276" xr:uid="{00000000-0005-0000-0000-000027010000}"/>
    <cellStyle name="Normal [3]" xfId="277" xr:uid="{00000000-0005-0000-0000-000028010000}"/>
    <cellStyle name="Normal 1" xfId="38" xr:uid="{00000000-0005-0000-0000-000029010000}"/>
    <cellStyle name="Normal 2" xfId="1" xr:uid="{00000000-0005-0000-0000-00002A010000}"/>
    <cellStyle name="Normal 3" xfId="455" xr:uid="{00000000-0005-0000-0000-00002B010000}"/>
    <cellStyle name="Normal 4" xfId="501" xr:uid="{5E3C13E8-9227-4265-863A-5C0FE037287D}"/>
    <cellStyle name="Normal Bold" xfId="278" xr:uid="{00000000-0005-0000-0000-00002C010000}"/>
    <cellStyle name="Normal Pct" xfId="279" xr:uid="{00000000-0005-0000-0000-00002D010000}"/>
    <cellStyle name="Normal_bt debt model" xfId="32" xr:uid="{00000000-0005-0000-0000-00002E010000}"/>
    <cellStyle name="Normal_BT3" xfId="31" xr:uid="{00000000-0005-0000-0000-00002F010000}"/>
    <cellStyle name="Normal_BT3_TurkTelekom-postQ4a" xfId="37" xr:uid="{00000000-0005-0000-0000-000030010000}"/>
    <cellStyle name="Normal_dt2" xfId="24" xr:uid="{00000000-0005-0000-0000-000031010000}"/>
    <cellStyle name="Normal_ft" xfId="25" xr:uid="{00000000-0005-0000-0000-000032010000}"/>
    <cellStyle name="Normal_ft_TurkTelekom-postQ4a" xfId="33" xr:uid="{00000000-0005-0000-0000-000033010000}"/>
    <cellStyle name="Normal_FTsummod1" xfId="35" xr:uid="{00000000-0005-0000-0000-000034010000}"/>
    <cellStyle name="Normal_telka_Q305" xfId="28" xr:uid="{00000000-0005-0000-0000-000035010000}"/>
    <cellStyle name="Normal_TPSA_150508" xfId="34" xr:uid="{00000000-0005-0000-0000-000036010000}"/>
    <cellStyle name="NormalE" xfId="280" xr:uid="{00000000-0005-0000-0000-000037010000}"/>
    <cellStyle name="NormalGB" xfId="281" xr:uid="{00000000-0005-0000-0000-000038010000}"/>
    <cellStyle name="NormalMultiple" xfId="282" xr:uid="{00000000-0005-0000-0000-000039010000}"/>
    <cellStyle name="NOT" xfId="283" xr:uid="{00000000-0005-0000-0000-00003A010000}"/>
    <cellStyle name="Note 2" xfId="489" xr:uid="{00000000-0005-0000-0000-00003B010000}"/>
    <cellStyle name="Notes" xfId="284" xr:uid="{00000000-0005-0000-0000-00003C010000}"/>
    <cellStyle name="NPPESalesPct" xfId="285" xr:uid="{00000000-0005-0000-0000-00003D010000}"/>
    <cellStyle name="Number" xfId="286" xr:uid="{00000000-0005-0000-0000-00003E010000}"/>
    <cellStyle name="Number (2dp)" xfId="287" xr:uid="{00000000-0005-0000-0000-00003F010000}"/>
    <cellStyle name="Number_Copy of ESA5 ForecastScaling" xfId="288" xr:uid="{00000000-0005-0000-0000-000040010000}"/>
    <cellStyle name="NWI%S" xfId="289" xr:uid="{00000000-0005-0000-0000-000041010000}"/>
    <cellStyle name="Œ…‹æØ‚è [0.00]_GE 3 MINIMUM" xfId="290" xr:uid="{00000000-0005-0000-0000-000042010000}"/>
    <cellStyle name="Œ…‹æØ‚è_GE 3 MINIMUM" xfId="291" xr:uid="{00000000-0005-0000-0000-000043010000}"/>
    <cellStyle name="Ombrée" xfId="292" xr:uid="{00000000-0005-0000-0000-000044010000}"/>
    <cellStyle name="Onedec" xfId="293" xr:uid="{00000000-0005-0000-0000-000045010000}"/>
    <cellStyle name="Option" xfId="294" xr:uid="{00000000-0005-0000-0000-000046010000}"/>
    <cellStyle name="Output 2" xfId="491" xr:uid="{00000000-0005-0000-0000-000047010000}"/>
    <cellStyle name="Page Number" xfId="295" xr:uid="{00000000-0005-0000-0000-000048010000}"/>
    <cellStyle name="Pass" xfId="296" xr:uid="{00000000-0005-0000-0000-000049010000}"/>
    <cellStyle name="PB Table Heading" xfId="297" xr:uid="{00000000-0005-0000-0000-00004A010000}"/>
    <cellStyle name="PB Table Highlight1" xfId="298" xr:uid="{00000000-0005-0000-0000-00004B010000}"/>
    <cellStyle name="PB Table Highlight2" xfId="299" xr:uid="{00000000-0005-0000-0000-00004C010000}"/>
    <cellStyle name="PB Table Highlight3" xfId="300" xr:uid="{00000000-0005-0000-0000-00004D010000}"/>
    <cellStyle name="PB Table Standard Row" xfId="301" xr:uid="{00000000-0005-0000-0000-00004E010000}"/>
    <cellStyle name="PB Table Subtotal Row" xfId="302" xr:uid="{00000000-0005-0000-0000-00004F010000}"/>
    <cellStyle name="PB Table Total Row" xfId="303" xr:uid="{00000000-0005-0000-0000-000050010000}"/>
    <cellStyle name="pb_page_heading_LS" xfId="304" xr:uid="{00000000-0005-0000-0000-000051010000}"/>
    <cellStyle name="pc1" xfId="305" xr:uid="{00000000-0005-0000-0000-000052010000}"/>
    <cellStyle name="PctLine" xfId="306" xr:uid="{00000000-0005-0000-0000-000053010000}"/>
    <cellStyle name="per.style" xfId="307" xr:uid="{00000000-0005-0000-0000-000054010000}"/>
    <cellStyle name="Percent" xfId="26" builtinId="5"/>
    <cellStyle name="Percent (0)" xfId="308" xr:uid="{00000000-0005-0000-0000-000056010000}"/>
    <cellStyle name="Percent (0.0)" xfId="19" xr:uid="{00000000-0005-0000-0000-000057010000}"/>
    <cellStyle name="Percent (0.00)" xfId="20" xr:uid="{00000000-0005-0000-0000-000058010000}"/>
    <cellStyle name="Percent [0]" xfId="309" xr:uid="{00000000-0005-0000-0000-000059010000}"/>
    <cellStyle name="Percent [1]" xfId="310" xr:uid="{00000000-0005-0000-0000-00005A010000}"/>
    <cellStyle name="Percent [2]" xfId="311" xr:uid="{00000000-0005-0000-0000-00005B010000}"/>
    <cellStyle name="Percent 0" xfId="312" xr:uid="{00000000-0005-0000-0000-00005C010000}"/>
    <cellStyle name="Percent 0.00" xfId="313" xr:uid="{00000000-0005-0000-0000-00005D010000}"/>
    <cellStyle name="Percent 0_3q" xfId="314" xr:uid="{00000000-0005-0000-0000-00005E010000}"/>
    <cellStyle name="Percent 2" xfId="36" xr:uid="{00000000-0005-0000-0000-00005F010000}"/>
    <cellStyle name="Percent 3" xfId="490" xr:uid="{00000000-0005-0000-0000-000060010000}"/>
    <cellStyle name="Percentage" xfId="315" xr:uid="{00000000-0005-0000-0000-000061010000}"/>
    <cellStyle name="Percentage (2dp)" xfId="316" xr:uid="{00000000-0005-0000-0000-000062010000}"/>
    <cellStyle name="Percentage_Copy of ESA5 ForecastScaling" xfId="317" xr:uid="{00000000-0005-0000-0000-000063010000}"/>
    <cellStyle name="PercentChange" xfId="318" xr:uid="{00000000-0005-0000-0000-000064010000}"/>
    <cellStyle name="PercentPresentation" xfId="319" xr:uid="{00000000-0005-0000-0000-000065010000}"/>
    <cellStyle name="PercentSales" xfId="320" xr:uid="{00000000-0005-0000-0000-000066010000}"/>
    <cellStyle name="PerShare" xfId="321" xr:uid="{00000000-0005-0000-0000-000067010000}"/>
    <cellStyle name="POPS" xfId="322" xr:uid="{00000000-0005-0000-0000-000068010000}"/>
    <cellStyle name="Pourcentage [0]" xfId="323" xr:uid="{00000000-0005-0000-0000-000069010000}"/>
    <cellStyle name="Pourcentage [00]" xfId="324" xr:uid="{00000000-0005-0000-0000-00006A010000}"/>
    <cellStyle name="Pourcentage_BASCULER" xfId="325" xr:uid="{00000000-0005-0000-0000-00006B010000}"/>
    <cellStyle name="Presentation" xfId="326" xr:uid="{00000000-0005-0000-0000-00006C010000}"/>
    <cellStyle name="PresentationZero" xfId="327" xr:uid="{00000000-0005-0000-0000-00006D010000}"/>
    <cellStyle name="Price" xfId="328" xr:uid="{00000000-0005-0000-0000-00006E010000}"/>
    <cellStyle name="Pub percent" xfId="329" xr:uid="{00000000-0005-0000-0000-00006F010000}"/>
    <cellStyle name="r" xfId="330" xr:uid="{00000000-0005-0000-0000-000070010000}"/>
    <cellStyle name="r_Canal Digital" xfId="331" xr:uid="{00000000-0005-0000-0000-000071010000}"/>
    <cellStyle name="r_Canal Digital_Deutsche" xfId="332" xr:uid="{00000000-0005-0000-0000-000072010000}"/>
    <cellStyle name="r_Canal Digital_Fixed" xfId="333" xr:uid="{00000000-0005-0000-0000-000073010000}"/>
    <cellStyle name="r_Canal Digital_Fixed_Deutsche" xfId="334" xr:uid="{00000000-0005-0000-0000-000074010000}"/>
    <cellStyle name="r_Canal Digital_Fixed_Innsamling" xfId="335" xr:uid="{00000000-0005-0000-0000-000075010000}"/>
    <cellStyle name="r_Canal Digital_Group" xfId="336" xr:uid="{00000000-0005-0000-0000-000076010000}"/>
    <cellStyle name="r_Canal Digital_Group_Deutsche" xfId="337" xr:uid="{00000000-0005-0000-0000-000077010000}"/>
    <cellStyle name="r_Canal Digital_Group_Innsamling" xfId="338" xr:uid="{00000000-0005-0000-0000-000078010000}"/>
    <cellStyle name="r_Canal Digital_Innsamling" xfId="339" xr:uid="{00000000-0005-0000-0000-000079010000}"/>
    <cellStyle name="r_Canal Digital_Mobile" xfId="340" xr:uid="{00000000-0005-0000-0000-00007A010000}"/>
    <cellStyle name="r_Canal Digital_Mobile_Deutsche" xfId="341" xr:uid="{00000000-0005-0000-0000-00007B010000}"/>
    <cellStyle name="r_Canal Digital_Mobile_Innsamling" xfId="342" xr:uid="{00000000-0005-0000-0000-00007C010000}"/>
    <cellStyle name="r_Canal Digital_Special items" xfId="343" xr:uid="{00000000-0005-0000-0000-00007D010000}"/>
    <cellStyle name="r_Canal Digital_Special items_Deutsche" xfId="344" xr:uid="{00000000-0005-0000-0000-00007E010000}"/>
    <cellStyle name="r_Canal Digital_Special items_Innsamling" xfId="345" xr:uid="{00000000-0005-0000-0000-00007F010000}"/>
    <cellStyle name="r_tel" xfId="346" xr:uid="{00000000-0005-0000-0000-000080010000}"/>
    <cellStyle name="r_tel.xls Chart 680" xfId="347" xr:uid="{00000000-0005-0000-0000-000081010000}"/>
    <cellStyle name="r_Telenor" xfId="348" xr:uid="{00000000-0005-0000-0000-000082010000}"/>
    <cellStyle name="RatioX" xfId="349" xr:uid="{00000000-0005-0000-0000-000083010000}"/>
    <cellStyle name="Red font" xfId="350" xr:uid="{00000000-0005-0000-0000-000084010000}"/>
    <cellStyle name="Report" xfId="351" xr:uid="{00000000-0005-0000-0000-000085010000}"/>
    <cellStyle name="Right" xfId="352" xr:uid="{00000000-0005-0000-0000-000086010000}"/>
    <cellStyle name="Rmess" xfId="353" xr:uid="{00000000-0005-0000-0000-000087010000}"/>
    <cellStyle name="Rnumber" xfId="354" xr:uid="{00000000-0005-0000-0000-000088010000}"/>
    <cellStyle name="Rnumber 0d" xfId="355" xr:uid="{00000000-0005-0000-0000-000089010000}"/>
    <cellStyle name="Rnumber_eurosubs10" xfId="356" xr:uid="{00000000-0005-0000-0000-00008A010000}"/>
    <cellStyle name="Row and Column Total" xfId="357" xr:uid="{00000000-0005-0000-0000-00008B010000}"/>
    <cellStyle name="Row Heading" xfId="358" xr:uid="{00000000-0005-0000-0000-00008C010000}"/>
    <cellStyle name="Row Heading (No Wrap)" xfId="359" xr:uid="{00000000-0005-0000-0000-00008D010000}"/>
    <cellStyle name="Row Ignore" xfId="360" xr:uid="{00000000-0005-0000-0000-00008E010000}"/>
    <cellStyle name="Row label" xfId="361" xr:uid="{00000000-0005-0000-0000-00008F010000}"/>
    <cellStyle name="Row label (indent)" xfId="362" xr:uid="{00000000-0005-0000-0000-000090010000}"/>
    <cellStyle name="Row Sub total" xfId="363" xr:uid="{00000000-0005-0000-0000-000091010000}"/>
    <cellStyle name="Row Title 1" xfId="364" xr:uid="{00000000-0005-0000-0000-000092010000}"/>
    <cellStyle name="Row Title 2" xfId="365" xr:uid="{00000000-0005-0000-0000-000093010000}"/>
    <cellStyle name="Row Title 3" xfId="366" xr:uid="{00000000-0005-0000-0000-000094010000}"/>
    <cellStyle name="Row Total" xfId="367" xr:uid="{00000000-0005-0000-0000-000095010000}"/>
    <cellStyle name="Saisie" xfId="368" xr:uid="{00000000-0005-0000-0000-000096010000}"/>
    <cellStyle name="Salomon Logo" xfId="369" xr:uid="{00000000-0005-0000-0000-000097010000}"/>
    <cellStyle name="ScripFactor" xfId="370" xr:uid="{00000000-0005-0000-0000-000098010000}"/>
    <cellStyle name="Section Title" xfId="371" xr:uid="{00000000-0005-0000-0000-000099010000}"/>
    <cellStyle name="SectionHeading" xfId="372" xr:uid="{00000000-0005-0000-0000-00009A010000}"/>
    <cellStyle name="Separador de milhares [0]_Intx SMS Vivo x Outras Operadoras" xfId="21" xr:uid="{00000000-0005-0000-0000-00009B010000}"/>
    <cellStyle name="Separador de milhares_Intx SMS Vivo x Outras Operadoras" xfId="22" xr:uid="{00000000-0005-0000-0000-00009C010000}"/>
    <cellStyle name="Shares" xfId="373" xr:uid="{00000000-0005-0000-0000-00009D010000}"/>
    <cellStyle name="Single Accounting" xfId="374" xr:uid="{00000000-0005-0000-0000-00009E010000}"/>
    <cellStyle name="Small Number" xfId="375" xr:uid="{00000000-0005-0000-0000-00009F010000}"/>
    <cellStyle name="Small Percentage" xfId="376" xr:uid="{00000000-0005-0000-0000-0000A0010000}"/>
    <cellStyle name="Sous titre" xfId="377" xr:uid="{00000000-0005-0000-0000-0000A1010000}"/>
    <cellStyle name="Standaard_KPN" xfId="378" xr:uid="{00000000-0005-0000-0000-0000A2010000}"/>
    <cellStyle name="Standard" xfId="379" xr:uid="{00000000-0005-0000-0000-0000A3010000}"/>
    <cellStyle name="Strange" xfId="380" xr:uid="{00000000-0005-0000-0000-0000A4010000}"/>
    <cellStyle name="STYL1 - Style1" xfId="381" xr:uid="{00000000-0005-0000-0000-0000A5010000}"/>
    <cellStyle name="Style 1" xfId="27" xr:uid="{00000000-0005-0000-0000-0000A6010000}"/>
    <cellStyle name="Style 1 2" xfId="39" xr:uid="{00000000-0005-0000-0000-0000A7010000}"/>
    <cellStyle name="Subhead" xfId="382" xr:uid="{00000000-0005-0000-0000-0000A8010000}"/>
    <cellStyle name="Sub-total row" xfId="383" xr:uid="{00000000-0005-0000-0000-0000A9010000}"/>
    <cellStyle name="Table" xfId="384" xr:uid="{00000000-0005-0000-0000-0000AA010000}"/>
    <cellStyle name="Table finish row" xfId="385" xr:uid="{00000000-0005-0000-0000-0000AB010000}"/>
    <cellStyle name="Table Head" xfId="386" xr:uid="{00000000-0005-0000-0000-0000AC010000}"/>
    <cellStyle name="Table Head Aligned" xfId="387" xr:uid="{00000000-0005-0000-0000-0000AD010000}"/>
    <cellStyle name="Table Head Blue" xfId="388" xr:uid="{00000000-0005-0000-0000-0000AE010000}"/>
    <cellStyle name="Table Head Green" xfId="389" xr:uid="{00000000-0005-0000-0000-0000AF010000}"/>
    <cellStyle name="Table Head_Millicom_current" xfId="500" xr:uid="{00000000-0005-0000-0000-0000B0010000}"/>
    <cellStyle name="table numbers 1" xfId="390" xr:uid="{00000000-0005-0000-0000-0000B1010000}"/>
    <cellStyle name="Table numbers 2" xfId="391" xr:uid="{00000000-0005-0000-0000-0000B2010000}"/>
    <cellStyle name="Table shading" xfId="392" xr:uid="{00000000-0005-0000-0000-0000B3010000}"/>
    <cellStyle name="Table Source" xfId="393" xr:uid="{00000000-0005-0000-0000-0000B4010000}"/>
    <cellStyle name="Table Text" xfId="394" xr:uid="{00000000-0005-0000-0000-0000B5010000}"/>
    <cellStyle name="Table Title" xfId="395" xr:uid="{00000000-0005-0000-0000-0000B6010000}"/>
    <cellStyle name="Table unfinish row" xfId="396" xr:uid="{00000000-0005-0000-0000-0000B7010000}"/>
    <cellStyle name="Table Units" xfId="397" xr:uid="{00000000-0005-0000-0000-0000B8010000}"/>
    <cellStyle name="Table unshading" xfId="398" xr:uid="{00000000-0005-0000-0000-0000B9010000}"/>
    <cellStyle name="TableBorder" xfId="399" xr:uid="{00000000-0005-0000-0000-0000BA010000}"/>
    <cellStyle name="TableFootnotes" xfId="400" xr:uid="{00000000-0005-0000-0000-0000BB010000}"/>
    <cellStyle name="TableTitleFormat" xfId="401" xr:uid="{00000000-0005-0000-0000-0000BC010000}"/>
    <cellStyle name="Test [green]" xfId="402" xr:uid="{00000000-0005-0000-0000-0000BD010000}"/>
    <cellStyle name="test a style" xfId="403" xr:uid="{00000000-0005-0000-0000-0000BE010000}"/>
    <cellStyle name="Text" xfId="404" xr:uid="{00000000-0005-0000-0000-0000BF010000}"/>
    <cellStyle name="Text 1" xfId="405" xr:uid="{00000000-0005-0000-0000-0000C0010000}"/>
    <cellStyle name="Text 2" xfId="406" xr:uid="{00000000-0005-0000-0000-0000C1010000}"/>
    <cellStyle name="Text Head 1" xfId="407" xr:uid="{00000000-0005-0000-0000-0000C2010000}"/>
    <cellStyle name="Text Head 2" xfId="408" xr:uid="{00000000-0005-0000-0000-0000C3010000}"/>
    <cellStyle name="Text Indent 1" xfId="409" xr:uid="{00000000-0005-0000-0000-0000C4010000}"/>
    <cellStyle name="Text Indent 2" xfId="410" xr:uid="{00000000-0005-0000-0000-0000C5010000}"/>
    <cellStyle name="TFCF" xfId="411" xr:uid="{00000000-0005-0000-0000-0000C6010000}"/>
    <cellStyle name="Time Strip" xfId="412" xr:uid="{00000000-0005-0000-0000-0000C7010000}"/>
    <cellStyle name="times" xfId="413" xr:uid="{00000000-0005-0000-0000-0000C8010000}"/>
    <cellStyle name="Times 10" xfId="414" xr:uid="{00000000-0005-0000-0000-0000C9010000}"/>
    <cellStyle name="Times 12" xfId="415" xr:uid="{00000000-0005-0000-0000-0000CA010000}"/>
    <cellStyle name="times_Deutsche" xfId="416" xr:uid="{00000000-0005-0000-0000-0000CB010000}"/>
    <cellStyle name="Title 2" xfId="494" xr:uid="{00000000-0005-0000-0000-0000CC010000}"/>
    <cellStyle name="Title Heading" xfId="417" xr:uid="{00000000-0005-0000-0000-0000CD010000}"/>
    <cellStyle name="Title II" xfId="418" xr:uid="{00000000-0005-0000-0000-0000CE010000}"/>
    <cellStyle name="title1" xfId="419" xr:uid="{00000000-0005-0000-0000-0000CF010000}"/>
    <cellStyle name="Title2" xfId="420" xr:uid="{00000000-0005-0000-0000-0000D0010000}"/>
    <cellStyle name="TitleII" xfId="421" xr:uid="{00000000-0005-0000-0000-0000D1010000}"/>
    <cellStyle name="Titles" xfId="422" xr:uid="{00000000-0005-0000-0000-0000D2010000}"/>
    <cellStyle name="Titre" xfId="423" xr:uid="{00000000-0005-0000-0000-0000D3010000}"/>
    <cellStyle name="TOC 1" xfId="424" xr:uid="{00000000-0005-0000-0000-0000D4010000}"/>
    <cellStyle name="TOC 2" xfId="425" xr:uid="{00000000-0005-0000-0000-0000D5010000}"/>
    <cellStyle name="tom" xfId="426" xr:uid="{00000000-0005-0000-0000-0000D6010000}"/>
    <cellStyle name="Topline" xfId="427" xr:uid="{00000000-0005-0000-0000-0000D7010000}"/>
    <cellStyle name="Total 2" xfId="498" xr:uid="{00000000-0005-0000-0000-0000D8010000}"/>
    <cellStyle name="Total row" xfId="428" xr:uid="{00000000-0005-0000-0000-0000D9010000}"/>
    <cellStyle name="Tusenskille_Korrigeringer for å nettoføre VØT" xfId="429" xr:uid="{00000000-0005-0000-0000-0000DA010000}"/>
    <cellStyle name="Tusental (0)_1998-Q2" xfId="430" xr:uid="{00000000-0005-0000-0000-0000DB010000}"/>
    <cellStyle name="Tusental_1998-Q4-NORGE" xfId="431" xr:uid="{00000000-0005-0000-0000-0000DC010000}"/>
    <cellStyle name="ul" xfId="432" xr:uid="{00000000-0005-0000-0000-0000DD010000}"/>
    <cellStyle name="Unhighlight" xfId="433" xr:uid="{00000000-0005-0000-0000-0000DE010000}"/>
    <cellStyle name="Unit" xfId="434" xr:uid="{00000000-0005-0000-0000-0000DF010000}"/>
    <cellStyle name="units" xfId="435" xr:uid="{00000000-0005-0000-0000-0000E0010000}"/>
    <cellStyle name="Untotal row" xfId="436" xr:uid="{00000000-0005-0000-0000-0000E1010000}"/>
    <cellStyle name="Upload Only" xfId="437" xr:uid="{00000000-0005-0000-0000-0000E2010000}"/>
    <cellStyle name="Valuta (0)_1998-Q2" xfId="438" xr:uid="{00000000-0005-0000-0000-0000E3010000}"/>
    <cellStyle name="Warning Text 2" xfId="492" xr:uid="{00000000-0005-0000-0000-0000E4010000}"/>
    <cellStyle name="web_ normal" xfId="439" xr:uid="{00000000-0005-0000-0000-0000E5010000}"/>
    <cellStyle name="White" xfId="440" xr:uid="{00000000-0005-0000-0000-0000E6010000}"/>
    <cellStyle name="WholeNumber" xfId="441" xr:uid="{00000000-0005-0000-0000-0000E7010000}"/>
    <cellStyle name="WP Header" xfId="442" xr:uid="{00000000-0005-0000-0000-0000E8010000}"/>
    <cellStyle name="Year" xfId="443" xr:uid="{00000000-0005-0000-0000-0000E9010000}"/>
    <cellStyle name="Yen" xfId="444" xr:uid="{00000000-0005-0000-0000-0000EA010000}"/>
    <cellStyle name="똿뗦먛귟 [0.00]_PRODUCT DETAIL Q1_x0013_" xfId="445" xr:uid="{00000000-0005-0000-0000-0000EB010000}"/>
    <cellStyle name="똿뗦먛귟_PRODUCT DETAIL Q1TAIL" xfId="446" xr:uid="{00000000-0005-0000-0000-0000EC010000}"/>
    <cellStyle name="믅됞 [0.00]_PRODUCT DETAIL Q1Q3" xfId="447" xr:uid="{00000000-0005-0000-0000-0000ED010000}"/>
    <cellStyle name="믅됞_PRODUCT DETAIL Q1TA" xfId="448" xr:uid="{00000000-0005-0000-0000-0000EE010000}"/>
    <cellStyle name="뷭?_BOOKSHIP_상세일정 (2) (2) " xfId="449" xr:uid="{00000000-0005-0000-0000-0000EF010000}"/>
    <cellStyle name="콤마 [0]_97년도 프로젝트 현황 (2)OMMENTS_총무" xfId="450" xr:uid="{00000000-0005-0000-0000-0000F0010000}"/>
    <cellStyle name="콤마_97년도 프로젝트 현황 (2) (2)OMMENT" xfId="451" xr:uid="{00000000-0005-0000-0000-0000F1010000}"/>
    <cellStyle name="통화 [0]_97년도 프로젝트 현황 (2)OMMENT" xfId="452" xr:uid="{00000000-0005-0000-0000-0000F2010000}"/>
    <cellStyle name="통화_97년도 프로젝트 현황 (2) (2)OMMENT" xfId="453" xr:uid="{00000000-0005-0000-0000-0000F3010000}"/>
    <cellStyle name="표준_97년 프로젝트 현황) (2) (2)" xfId="454" xr:uid="{00000000-0005-0000-0000-0000F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3399"/>
              </a:solidFill>
              <a:prstDash val="solid"/>
            </a:ln>
            <a:effectLst/>
          </c:spPr>
          <c:marker>
            <c:symbol val="none"/>
          </c:marker>
          <c:cat>
            <c:numRef>
              <c:f>Valuation!$G$3:$N$3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Valuation!#REF!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C-46A8-99FC-3B93BB4A9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41760"/>
        <c:axId val="131273472"/>
      </c:lineChart>
      <c:catAx>
        <c:axId val="12914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31273472"/>
        <c:crosses val="autoZero"/>
        <c:auto val="1"/>
        <c:lblAlgn val="ctr"/>
        <c:lblOffset val="100"/>
        <c:noMultiLvlLbl val="0"/>
      </c:catAx>
      <c:valAx>
        <c:axId val="13127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ROIC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141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'Earnings snaps'!$B$28</c:f>
              <c:strCache>
                <c:ptCount val="1"/>
                <c:pt idx="0">
                  <c:v>Entel</c:v>
                </c:pt>
              </c:strCache>
            </c:strRef>
          </c:tx>
          <c:spPr>
            <a:solidFill>
              <a:srgbClr val="263238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FFFF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snaps'!$C$27:$H$27</c:f>
              <c:strCache>
                <c:ptCount val="6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</c:strCache>
            </c:strRef>
          </c:cat>
          <c:val>
            <c:numRef>
              <c:f>'Earnings snaps'!$C$28:$H$28</c:f>
              <c:numCache>
                <c:formatCode>0%</c:formatCode>
                <c:ptCount val="6"/>
                <c:pt idx="0">
                  <c:v>3.3745877573121197E-2</c:v>
                </c:pt>
                <c:pt idx="1">
                  <c:v>0.17154292979527863</c:v>
                </c:pt>
                <c:pt idx="2">
                  <c:v>0.13190318954123814</c:v>
                </c:pt>
                <c:pt idx="3">
                  <c:v>0.1124236890056094</c:v>
                </c:pt>
                <c:pt idx="4">
                  <c:v>0.14000000000000001</c:v>
                </c:pt>
                <c:pt idx="5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D-4C4F-A638-7BE66E128ED6}"/>
            </c:ext>
          </c:extLst>
        </c:ser>
        <c:ser>
          <c:idx val="1"/>
          <c:order val="1"/>
          <c:tx>
            <c:strRef>
              <c:f>'Earnings snaps'!$B$29</c:f>
              <c:strCache>
                <c:ptCount val="1"/>
                <c:pt idx="0">
                  <c:v>Claro</c:v>
                </c:pt>
              </c:strCache>
            </c:strRef>
          </c:tx>
          <c:spPr>
            <a:solidFill>
              <a:srgbClr val="799098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FFFF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snaps'!$C$27:$H$27</c:f>
              <c:strCache>
                <c:ptCount val="6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</c:strCache>
            </c:strRef>
          </c:cat>
          <c:val>
            <c:numRef>
              <c:f>'Earnings snaps'!$C$29:$H$29</c:f>
              <c:numCache>
                <c:formatCode>0%</c:formatCode>
                <c:ptCount val="6"/>
                <c:pt idx="0">
                  <c:v>4.1666666666666741E-2</c:v>
                </c:pt>
                <c:pt idx="1">
                  <c:v>0.10439560439560447</c:v>
                </c:pt>
                <c:pt idx="2">
                  <c:v>0.15775034293552803</c:v>
                </c:pt>
                <c:pt idx="3">
                  <c:v>0.12255541069100384</c:v>
                </c:pt>
                <c:pt idx="4">
                  <c:v>9.6774193548387011E-2</c:v>
                </c:pt>
                <c:pt idx="5">
                  <c:v>7.4626865671641784E-2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D-4C4F-A638-7BE66E128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1991473935"/>
        <c:axId val="1991475183"/>
      </c:barChart>
      <c:catAx>
        <c:axId val="199147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3B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Helvetica Neue"/>
                <a:ea typeface="Helvetica Neue"/>
                <a:cs typeface="Helvetica Neue"/>
              </a:defRPr>
            </a:pPr>
            <a:endParaRPr lang="en-US"/>
          </a:p>
        </c:txPr>
        <c:crossAx val="1991475183"/>
        <c:crosses val="autoZero"/>
        <c:auto val="1"/>
        <c:lblAlgn val="ctr"/>
        <c:lblOffset val="100"/>
        <c:noMultiLvlLbl val="0"/>
      </c:catAx>
      <c:valAx>
        <c:axId val="1991475183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Helvetica Neue"/>
                    <a:ea typeface="Helvetica Neue"/>
                    <a:cs typeface="Helvetica Neue"/>
                  </a:defRPr>
                </a:pPr>
                <a:r>
                  <a:rPr lang="en-US"/>
                  <a:t>y/y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595959"/>
                  </a:solidFill>
                  <a:latin typeface="Helvetica Neue"/>
                  <a:ea typeface="Helvetica Neue"/>
                  <a:cs typeface="Helvetica Neue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crossAx val="199147393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Helvetica Neue"/>
              <a:ea typeface="Helvetica Neue"/>
              <a:cs typeface="Helvetica Neue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595959"/>
          </a:solidFill>
          <a:latin typeface="Helvetica Neue"/>
          <a:ea typeface="Helvetica Neue"/>
          <a:cs typeface="Helvetica Neue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'Earnings snaps'!$B$70</c:f>
              <c:strCache>
                <c:ptCount val="1"/>
                <c:pt idx="0">
                  <c:v>Entel </c:v>
                </c:pt>
              </c:strCache>
            </c:strRef>
          </c:tx>
          <c:spPr>
            <a:solidFill>
              <a:srgbClr val="263238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FFFF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snaps'!$C$69:$L$69</c:f>
              <c:strCache>
                <c:ptCount val="10"/>
                <c:pt idx="0">
                  <c:v>Q1 20</c:v>
                </c:pt>
                <c:pt idx="1">
                  <c:v>Q2 20</c:v>
                </c:pt>
                <c:pt idx="2">
                  <c:v>Q3 20</c:v>
                </c:pt>
                <c:pt idx="3">
                  <c:v>Q4 20</c:v>
                </c:pt>
                <c:pt idx="4">
                  <c:v>Q1 21</c:v>
                </c:pt>
                <c:pt idx="5">
                  <c:v>Q2 21</c:v>
                </c:pt>
                <c:pt idx="6">
                  <c:v>Q3 21</c:v>
                </c:pt>
                <c:pt idx="7">
                  <c:v>Q4 21</c:v>
                </c:pt>
                <c:pt idx="8">
                  <c:v>Q1 22</c:v>
                </c:pt>
                <c:pt idx="9">
                  <c:v>Q2 22</c:v>
                </c:pt>
              </c:strCache>
            </c:strRef>
          </c:cat>
          <c:val>
            <c:numRef>
              <c:f>'Earnings snaps'!$G$70:$L$70</c:f>
              <c:numCache>
                <c:formatCode>0%</c:formatCode>
                <c:ptCount val="6"/>
                <c:pt idx="0">
                  <c:v>5.169526582230155E-2</c:v>
                </c:pt>
                <c:pt idx="1">
                  <c:v>0.13672713891592325</c:v>
                </c:pt>
                <c:pt idx="2">
                  <c:v>9.3944776050141066E-2</c:v>
                </c:pt>
                <c:pt idx="3">
                  <c:v>6.5868949249830111E-2</c:v>
                </c:pt>
                <c:pt idx="4">
                  <c:v>3.219100410446063E-2</c:v>
                </c:pt>
                <c:pt idx="5">
                  <c:v>3.7413530961694086E-4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2-42F8-9AED-F8506844702B}"/>
            </c:ext>
          </c:extLst>
        </c:ser>
        <c:ser>
          <c:idx val="2"/>
          <c:order val="1"/>
          <c:tx>
            <c:strRef>
              <c:f>'Earnings snaps'!$B$72</c:f>
              <c:strCache>
                <c:ptCount val="1"/>
                <c:pt idx="0">
                  <c:v>Claro</c:v>
                </c:pt>
              </c:strCache>
            </c:strRef>
          </c:tx>
          <c:spPr>
            <a:solidFill>
              <a:srgbClr val="F9663E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snaps'!$C$69:$L$69</c:f>
              <c:strCache>
                <c:ptCount val="10"/>
                <c:pt idx="0">
                  <c:v>Q1 20</c:v>
                </c:pt>
                <c:pt idx="1">
                  <c:v>Q2 20</c:v>
                </c:pt>
                <c:pt idx="2">
                  <c:v>Q3 20</c:v>
                </c:pt>
                <c:pt idx="3">
                  <c:v>Q4 20</c:v>
                </c:pt>
                <c:pt idx="4">
                  <c:v>Q1 21</c:v>
                </c:pt>
                <c:pt idx="5">
                  <c:v>Q2 21</c:v>
                </c:pt>
                <c:pt idx="6">
                  <c:v>Q3 21</c:v>
                </c:pt>
                <c:pt idx="7">
                  <c:v>Q4 21</c:v>
                </c:pt>
                <c:pt idx="8">
                  <c:v>Q1 22</c:v>
                </c:pt>
                <c:pt idx="9">
                  <c:v>Q2 22</c:v>
                </c:pt>
              </c:strCache>
            </c:strRef>
          </c:cat>
          <c:val>
            <c:numRef>
              <c:f>'Earnings snaps'!$G$72:$L$72</c:f>
              <c:numCache>
                <c:formatCode>0%</c:formatCode>
                <c:ptCount val="6"/>
                <c:pt idx="0">
                  <c:v>-3.7375866489928078E-2</c:v>
                </c:pt>
                <c:pt idx="1">
                  <c:v>-1.7999999999999999E-2</c:v>
                </c:pt>
                <c:pt idx="2">
                  <c:v>0.02</c:v>
                </c:pt>
                <c:pt idx="3">
                  <c:v>-0.03</c:v>
                </c:pt>
                <c:pt idx="4">
                  <c:v>-8.5999999999999993E-2</c:v>
                </c:pt>
                <c:pt idx="5">
                  <c:v>-0.10069044879171463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2-42F8-9AED-F8506844702B}"/>
            </c:ext>
          </c:extLst>
        </c:ser>
        <c:ser>
          <c:idx val="1"/>
          <c:order val="2"/>
          <c:tx>
            <c:strRef>
              <c:f>'Earnings snaps'!$B$71</c:f>
              <c:strCache>
                <c:ptCount val="1"/>
                <c:pt idx="0">
                  <c:v>WOM</c:v>
                </c:pt>
              </c:strCache>
            </c:strRef>
          </c:tx>
          <c:spPr>
            <a:solidFill>
              <a:srgbClr val="C7FE02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'Earnings snaps'!$G$71:$L$71</c:f>
              <c:numCache>
                <c:formatCode>0%</c:formatCode>
                <c:ptCount val="6"/>
                <c:pt idx="0">
                  <c:v>-1.9749817921528745E-2</c:v>
                </c:pt>
                <c:pt idx="1">
                  <c:v>5.5494670983148531E-2</c:v>
                </c:pt>
                <c:pt idx="2">
                  <c:v>1.8853317910704881E-2</c:v>
                </c:pt>
                <c:pt idx="3">
                  <c:v>2.7210212065060801E-2</c:v>
                </c:pt>
                <c:pt idx="4">
                  <c:v>8.1713603035813653E-2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7-47EE-9995-DA8C261FAA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1253620080"/>
        <c:axId val="1253621720"/>
      </c:barChart>
      <c:catAx>
        <c:axId val="12536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B3B3B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Helvetica Neue"/>
                <a:ea typeface="Helvetica Neue"/>
                <a:cs typeface="Helvetica Neue"/>
              </a:defRPr>
            </a:pPr>
            <a:endParaRPr lang="en-US"/>
          </a:p>
        </c:txPr>
        <c:crossAx val="1253621720"/>
        <c:crosses val="autoZero"/>
        <c:auto val="1"/>
        <c:lblAlgn val="ctr"/>
        <c:lblOffset val="100"/>
        <c:noMultiLvlLbl val="0"/>
      </c:catAx>
      <c:valAx>
        <c:axId val="125362172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2536200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Helvetica Neue"/>
              <a:ea typeface="Helvetica Neue"/>
              <a:cs typeface="Helvetica Neue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595959"/>
          </a:solidFill>
          <a:latin typeface="Helvetica Neue"/>
          <a:ea typeface="Helvetica Neue"/>
          <a:cs typeface="Helvetica Neue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'Earnings snaps'!$B$51</c:f>
              <c:strCache>
                <c:ptCount val="1"/>
                <c:pt idx="0">
                  <c:v>Entel consumer mobile</c:v>
                </c:pt>
              </c:strCache>
            </c:strRef>
          </c:tx>
          <c:spPr>
            <a:solidFill>
              <a:srgbClr val="263238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FFFF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snaps'!$I$50:$L$50</c:f>
              <c:strCache>
                <c:ptCount val="4"/>
                <c:pt idx="0">
                  <c:v>Q3 21</c:v>
                </c:pt>
                <c:pt idx="1">
                  <c:v>Q4 21</c:v>
                </c:pt>
                <c:pt idx="2">
                  <c:v>Q1 22</c:v>
                </c:pt>
                <c:pt idx="3">
                  <c:v>Q2 22</c:v>
                </c:pt>
              </c:strCache>
            </c:strRef>
          </c:cat>
          <c:val>
            <c:numRef>
              <c:f>'Earnings snaps'!$I$51:$L$51</c:f>
              <c:numCache>
                <c:formatCode>0%</c:formatCode>
                <c:ptCount val="4"/>
                <c:pt idx="0">
                  <c:v>0.08</c:v>
                </c:pt>
                <c:pt idx="1">
                  <c:v>0.06</c:v>
                </c:pt>
                <c:pt idx="2">
                  <c:v>0.08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B-4175-8BD8-6BBE20D5CC4C}"/>
            </c:ext>
          </c:extLst>
        </c:ser>
        <c:ser>
          <c:idx val="1"/>
          <c:order val="1"/>
          <c:tx>
            <c:strRef>
              <c:f>'Earnings snaps'!$B$57</c:f>
              <c:strCache>
                <c:ptCount val="1"/>
                <c:pt idx="0">
                  <c:v>Entel corp mobile</c:v>
                </c:pt>
              </c:strCache>
            </c:strRef>
          </c:tx>
          <c:spPr>
            <a:solidFill>
              <a:srgbClr val="799098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FFFF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snaps'!$I$50:$L$50</c:f>
              <c:strCache>
                <c:ptCount val="4"/>
                <c:pt idx="0">
                  <c:v>Q3 21</c:v>
                </c:pt>
                <c:pt idx="1">
                  <c:v>Q4 21</c:v>
                </c:pt>
                <c:pt idx="2">
                  <c:v>Q1 22</c:v>
                </c:pt>
                <c:pt idx="3">
                  <c:v>Q2 22</c:v>
                </c:pt>
              </c:strCache>
            </c:strRef>
          </c:cat>
          <c:val>
            <c:numRef>
              <c:f>'Earnings snaps'!$I$57:$L$57</c:f>
              <c:numCache>
                <c:formatCode>0%</c:formatCode>
                <c:ptCount val="4"/>
                <c:pt idx="0">
                  <c:v>0.06</c:v>
                </c:pt>
                <c:pt idx="1">
                  <c:v>0.04</c:v>
                </c:pt>
                <c:pt idx="2">
                  <c:v>-0.02</c:v>
                </c:pt>
                <c:pt idx="3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6B-4175-8BD8-6BBE20D5CC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1991292975"/>
        <c:axId val="1991285487"/>
      </c:barChart>
      <c:catAx>
        <c:axId val="199129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3B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Helvetica Neue"/>
                <a:ea typeface="Helvetica Neue"/>
                <a:cs typeface="Helvetica Neue"/>
              </a:defRPr>
            </a:pPr>
            <a:endParaRPr lang="en-US"/>
          </a:p>
        </c:txPr>
        <c:crossAx val="1991285487"/>
        <c:crosses val="autoZero"/>
        <c:auto val="1"/>
        <c:lblAlgn val="ctr"/>
        <c:lblOffset val="100"/>
        <c:noMultiLvlLbl val="0"/>
      </c:catAx>
      <c:valAx>
        <c:axId val="1991285487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9129297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Helvetica Neue"/>
              <a:ea typeface="Helvetica Neue"/>
              <a:cs typeface="Helvetica Neue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595959"/>
          </a:solidFill>
          <a:latin typeface="Helvetica Neue"/>
          <a:ea typeface="Helvetica Neue"/>
          <a:cs typeface="Helvetica Neue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'Earnings snaps'!$B$88</c:f>
              <c:strCache>
                <c:ptCount val="1"/>
                <c:pt idx="0">
                  <c:v>Chile margin </c:v>
                </c:pt>
              </c:strCache>
            </c:strRef>
          </c:tx>
          <c:spPr>
            <a:ln w="25400" cap="rnd">
              <a:solidFill>
                <a:srgbClr val="26323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snaps'!$C$87:$L$87</c:f>
              <c:strCache>
                <c:ptCount val="10"/>
                <c:pt idx="0">
                  <c:v>Q1 20</c:v>
                </c:pt>
                <c:pt idx="1">
                  <c:v>Q2 20</c:v>
                </c:pt>
                <c:pt idx="2">
                  <c:v>Q3 20</c:v>
                </c:pt>
                <c:pt idx="3">
                  <c:v>Q4 20</c:v>
                </c:pt>
                <c:pt idx="4">
                  <c:v>Q1 21</c:v>
                </c:pt>
                <c:pt idx="5">
                  <c:v>Q2 21</c:v>
                </c:pt>
                <c:pt idx="6">
                  <c:v>Q3 21</c:v>
                </c:pt>
                <c:pt idx="7">
                  <c:v>Q4 21</c:v>
                </c:pt>
                <c:pt idx="8">
                  <c:v>Q1 22</c:v>
                </c:pt>
                <c:pt idx="9">
                  <c:v>Q2 22</c:v>
                </c:pt>
              </c:strCache>
            </c:strRef>
          </c:cat>
          <c:val>
            <c:numRef>
              <c:f>'Earnings snaps'!$C$88:$L$88</c:f>
              <c:numCache>
                <c:formatCode>0.0%</c:formatCode>
                <c:ptCount val="10"/>
                <c:pt idx="0">
                  <c:v>0.37809031660284659</c:v>
                </c:pt>
                <c:pt idx="1">
                  <c:v>0.39384382795373801</c:v>
                </c:pt>
                <c:pt idx="2">
                  <c:v>0.36376877485958842</c:v>
                </c:pt>
                <c:pt idx="3">
                  <c:v>0.37801636759516483</c:v>
                </c:pt>
                <c:pt idx="4">
                  <c:v>0.36679407451315044</c:v>
                </c:pt>
                <c:pt idx="5">
                  <c:v>0.38937232037346303</c:v>
                </c:pt>
                <c:pt idx="6">
                  <c:v>0.39263109877786861</c:v>
                </c:pt>
                <c:pt idx="7">
                  <c:v>0.37719628412625472</c:v>
                </c:pt>
                <c:pt idx="8">
                  <c:v>0.37010821200581695</c:v>
                </c:pt>
                <c:pt idx="9">
                  <c:v>0.35615535297219919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E-4D8B-AD0D-67C13EF505A7}"/>
            </c:ext>
          </c:extLst>
        </c:ser>
        <c:ser>
          <c:idx val="0"/>
          <c:order val="1"/>
          <c:tx>
            <c:v>ex-data centre costs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21-4CD3-8628-78F9A5C24DD3}"/>
              </c:ext>
            </c:extLst>
          </c:dPt>
          <c:cat>
            <c:strRef>
              <c:f>'Earnings snaps'!$C$87:$L$87</c:f>
              <c:strCache>
                <c:ptCount val="10"/>
                <c:pt idx="0">
                  <c:v>Q1 20</c:v>
                </c:pt>
                <c:pt idx="1">
                  <c:v>Q2 20</c:v>
                </c:pt>
                <c:pt idx="2">
                  <c:v>Q3 20</c:v>
                </c:pt>
                <c:pt idx="3">
                  <c:v>Q4 20</c:v>
                </c:pt>
                <c:pt idx="4">
                  <c:v>Q1 21</c:v>
                </c:pt>
                <c:pt idx="5">
                  <c:v>Q2 21</c:v>
                </c:pt>
                <c:pt idx="6">
                  <c:v>Q3 21</c:v>
                </c:pt>
                <c:pt idx="7">
                  <c:v>Q4 21</c:v>
                </c:pt>
                <c:pt idx="8">
                  <c:v>Q1 22</c:v>
                </c:pt>
                <c:pt idx="9">
                  <c:v>Q2 22</c:v>
                </c:pt>
              </c:strCache>
            </c:strRef>
          </c:cat>
          <c:val>
            <c:numRef>
              <c:f>'Earnings snaps'!$C$89:$L$89</c:f>
              <c:numCache>
                <c:formatCode>0.0%</c:formatCode>
                <c:ptCount val="10"/>
                <c:pt idx="8">
                  <c:v>0.2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1-4CD3-8628-78F9A5C24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6362560"/>
        <c:axId val="1026363392"/>
      </c:lineChart>
      <c:catAx>
        <c:axId val="10263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3B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Helvetica Neue"/>
                <a:ea typeface="Helvetica Neue"/>
                <a:cs typeface="Helvetica Neue"/>
              </a:defRPr>
            </a:pPr>
            <a:endParaRPr lang="en-US"/>
          </a:p>
        </c:txPr>
        <c:crossAx val="1026363392"/>
        <c:crosses val="autoZero"/>
        <c:auto val="1"/>
        <c:lblAlgn val="ctr"/>
        <c:lblOffset val="100"/>
        <c:noMultiLvlLbl val="0"/>
      </c:catAx>
      <c:valAx>
        <c:axId val="1026363392"/>
        <c:scaling>
          <c:orientation val="minMax"/>
          <c:min val="0.30000000000000004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solidFill>
              <a:srgbClr val="B3B3B3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595959"/>
                </a:solidFill>
                <a:latin typeface="Roboto" panose="02000000000000000000" pitchFamily="2" charset="0"/>
                <a:ea typeface="Roboto" panose="02000000000000000000" pitchFamily="2" charset="0"/>
                <a:cs typeface="Helvetica Neue"/>
              </a:defRPr>
            </a:pPr>
            <a:endParaRPr lang="en-US"/>
          </a:p>
        </c:txPr>
        <c:crossAx val="10263625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Helvetica Neue"/>
              <a:ea typeface="Helvetica Neue"/>
              <a:cs typeface="Helvetica Neue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595959"/>
          </a:solidFill>
          <a:latin typeface="Helvetica Neue"/>
          <a:ea typeface="Helvetica Neue"/>
          <a:cs typeface="Helvetica Neue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'Earnings snaps'!$B$93</c:f>
              <c:strCache>
                <c:ptCount val="1"/>
                <c:pt idx="0">
                  <c:v>Peru margin</c:v>
                </c:pt>
              </c:strCache>
            </c:strRef>
          </c:tx>
          <c:spPr>
            <a:ln w="25400" cap="rnd">
              <a:solidFill>
                <a:srgbClr val="26323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snaps'!$C$87:$L$87</c:f>
              <c:strCache>
                <c:ptCount val="10"/>
                <c:pt idx="0">
                  <c:v>Q1 20</c:v>
                </c:pt>
                <c:pt idx="1">
                  <c:v>Q2 20</c:v>
                </c:pt>
                <c:pt idx="2">
                  <c:v>Q3 20</c:v>
                </c:pt>
                <c:pt idx="3">
                  <c:v>Q4 20</c:v>
                </c:pt>
                <c:pt idx="4">
                  <c:v>Q1 21</c:v>
                </c:pt>
                <c:pt idx="5">
                  <c:v>Q2 21</c:v>
                </c:pt>
                <c:pt idx="6">
                  <c:v>Q3 21</c:v>
                </c:pt>
                <c:pt idx="7">
                  <c:v>Q4 21</c:v>
                </c:pt>
                <c:pt idx="8">
                  <c:v>Q1 22</c:v>
                </c:pt>
                <c:pt idx="9">
                  <c:v>Q2 22</c:v>
                </c:pt>
              </c:strCache>
            </c:strRef>
          </c:cat>
          <c:val>
            <c:numRef>
              <c:f>'Earnings snaps'!$C$93:$L$93</c:f>
              <c:numCache>
                <c:formatCode>0.0%</c:formatCode>
                <c:ptCount val="10"/>
                <c:pt idx="0">
                  <c:v>0.15889255413679354</c:v>
                </c:pt>
                <c:pt idx="1">
                  <c:v>0.14321236347612604</c:v>
                </c:pt>
                <c:pt idx="2">
                  <c:v>0.13571505913208773</c:v>
                </c:pt>
                <c:pt idx="3">
                  <c:v>0.13322761831539381</c:v>
                </c:pt>
                <c:pt idx="4">
                  <c:v>0.16462087627382119</c:v>
                </c:pt>
                <c:pt idx="5">
                  <c:v>0.17955973154362417</c:v>
                </c:pt>
                <c:pt idx="6">
                  <c:v>0.1907273059806133</c:v>
                </c:pt>
                <c:pt idx="7">
                  <c:v>0.14423671164662205</c:v>
                </c:pt>
                <c:pt idx="8">
                  <c:v>0.18326351122791495</c:v>
                </c:pt>
                <c:pt idx="9">
                  <c:v>0.21352283643349926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4-4B1B-862A-5F6F1E3A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6362560"/>
        <c:axId val="1026363392"/>
      </c:lineChart>
      <c:catAx>
        <c:axId val="10263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3B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Helvetica Neue"/>
                <a:ea typeface="Helvetica Neue"/>
                <a:cs typeface="Helvetica Neue"/>
              </a:defRPr>
            </a:pPr>
            <a:endParaRPr lang="en-US"/>
          </a:p>
        </c:txPr>
        <c:crossAx val="1026363392"/>
        <c:crosses val="autoZero"/>
        <c:auto val="1"/>
        <c:lblAlgn val="ctr"/>
        <c:lblOffset val="100"/>
        <c:noMultiLvlLbl val="0"/>
      </c:catAx>
      <c:valAx>
        <c:axId val="10263633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02636256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Helvetica Neue"/>
              <a:ea typeface="Helvetica Neue"/>
              <a:cs typeface="Helvetica Neue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595959"/>
          </a:solidFill>
          <a:latin typeface="Helvetica Neue"/>
          <a:ea typeface="Helvetica Neue"/>
          <a:cs typeface="Helvetica Neue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'Earnings snaps'!$B$78</c:f>
              <c:strCache>
                <c:ptCount val="1"/>
                <c:pt idx="0">
                  <c:v>Homes passed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FFFF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snaps'!$H$77:$L$77</c:f>
              <c:strCache>
                <c:ptCount val="5"/>
                <c:pt idx="0">
                  <c:v>Q2 21</c:v>
                </c:pt>
                <c:pt idx="1">
                  <c:v>Q3 21</c:v>
                </c:pt>
                <c:pt idx="2">
                  <c:v>Q4 21</c:v>
                </c:pt>
                <c:pt idx="3">
                  <c:v>Q1 22</c:v>
                </c:pt>
                <c:pt idx="4">
                  <c:v>Q2 22</c:v>
                </c:pt>
              </c:strCache>
            </c:strRef>
          </c:cat>
          <c:val>
            <c:numRef>
              <c:f>'Earnings snaps'!$H$78:$L$78</c:f>
              <c:numCache>
                <c:formatCode>0</c:formatCode>
                <c:ptCount val="5"/>
                <c:pt idx="0" formatCode="General">
                  <c:v>601</c:v>
                </c:pt>
                <c:pt idx="1">
                  <c:v>680</c:v>
                </c:pt>
                <c:pt idx="2" formatCode="General">
                  <c:v>769</c:v>
                </c:pt>
                <c:pt idx="3" formatCode="General">
                  <c:v>827</c:v>
                </c:pt>
                <c:pt idx="4" formatCode="General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7-4E79-AB70-B2625A7BDF4F}"/>
            </c:ext>
          </c:extLst>
        </c:ser>
        <c:ser>
          <c:idx val="1"/>
          <c:order val="1"/>
          <c:tx>
            <c:strRef>
              <c:f>'Earnings snaps'!$B$81</c:f>
              <c:strCache>
                <c:ptCount val="1"/>
                <c:pt idx="0">
                  <c:v>FTTH unique subs</c:v>
                </c:pt>
              </c:strCache>
            </c:strRef>
          </c:tx>
          <c:spPr>
            <a:solidFill>
              <a:srgbClr val="799098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FFFF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snaps'!$H$77:$L$77</c:f>
              <c:strCache>
                <c:ptCount val="5"/>
                <c:pt idx="0">
                  <c:v>Q2 21</c:v>
                </c:pt>
                <c:pt idx="1">
                  <c:v>Q3 21</c:v>
                </c:pt>
                <c:pt idx="2">
                  <c:v>Q4 21</c:v>
                </c:pt>
                <c:pt idx="3">
                  <c:v>Q1 22</c:v>
                </c:pt>
                <c:pt idx="4">
                  <c:v>Q2 22</c:v>
                </c:pt>
              </c:strCache>
            </c:strRef>
          </c:cat>
          <c:val>
            <c:numRef>
              <c:f>'Earnings snaps'!$H$81:$L$81</c:f>
              <c:numCache>
                <c:formatCode>0</c:formatCode>
                <c:ptCount val="5"/>
                <c:pt idx="3">
                  <c:v>181.94</c:v>
                </c:pt>
                <c:pt idx="4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7-4E79-AB70-B2625A7BD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866344255"/>
        <c:axId val="866329695"/>
      </c:barChart>
      <c:catAx>
        <c:axId val="8663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3B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Helvetica Neue"/>
                <a:ea typeface="Helvetica Neue"/>
                <a:cs typeface="Helvetica Neue"/>
              </a:defRPr>
            </a:pPr>
            <a:endParaRPr lang="en-US"/>
          </a:p>
        </c:txPr>
        <c:crossAx val="866329695"/>
        <c:crosses val="autoZero"/>
        <c:auto val="1"/>
        <c:lblAlgn val="ctr"/>
        <c:lblOffset val="100"/>
        <c:noMultiLvlLbl val="0"/>
      </c:catAx>
      <c:valAx>
        <c:axId val="866329695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6634425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Helvetica Neue"/>
              <a:ea typeface="Helvetica Neue"/>
              <a:cs typeface="Helvetica Neue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595959"/>
          </a:solidFill>
          <a:latin typeface="Helvetica Neue"/>
          <a:ea typeface="Helvetica Neue"/>
          <a:cs typeface="Helvetica Neue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'Earnings snaps'!$B$138</c:f>
              <c:strCache>
                <c:ptCount val="1"/>
                <c:pt idx="0">
                  <c:v>Wireless revenue trends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snaps'!$C$137:$N$137</c:f>
              <c:strCache>
                <c:ptCount val="12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  <c:pt idx="6">
                  <c:v>Q3 22</c:v>
                </c:pt>
                <c:pt idx="7">
                  <c:v>Q4 22</c:v>
                </c:pt>
                <c:pt idx="8">
                  <c:v>Q1 23</c:v>
                </c:pt>
                <c:pt idx="9">
                  <c:v>Q2 23</c:v>
                </c:pt>
                <c:pt idx="10">
                  <c:v>Q3 23</c:v>
                </c:pt>
                <c:pt idx="11">
                  <c:v>Q4 23</c:v>
                </c:pt>
              </c:strCache>
            </c:strRef>
          </c:cat>
          <c:val>
            <c:numRef>
              <c:f>'Earnings snaps'!$C$138:$N$138</c:f>
              <c:numCache>
                <c:formatCode>0.0%</c:formatCode>
                <c:ptCount val="12"/>
                <c:pt idx="0">
                  <c:v>0.15443583118001714</c:v>
                </c:pt>
                <c:pt idx="1">
                  <c:v>0.323320815832562</c:v>
                </c:pt>
                <c:pt idx="2">
                  <c:v>0.13200835703447278</c:v>
                </c:pt>
                <c:pt idx="3">
                  <c:v>9.2133415039831856E-2</c:v>
                </c:pt>
                <c:pt idx="4">
                  <c:v>3.918809932388978E-2</c:v>
                </c:pt>
                <c:pt idx="5">
                  <c:v>1.3876046923700258E-2</c:v>
                </c:pt>
                <c:pt idx="6">
                  <c:v>-4.3537126286967154E-2</c:v>
                </c:pt>
                <c:pt idx="7">
                  <c:v>-7.3908415254291593E-2</c:v>
                </c:pt>
                <c:pt idx="8">
                  <c:v>-9.8395517157675583E-3</c:v>
                </c:pt>
                <c:pt idx="9">
                  <c:v>-5.8528383729182232E-2</c:v>
                </c:pt>
                <c:pt idx="10">
                  <c:v>-2.0289303924054147E-2</c:v>
                </c:pt>
                <c:pt idx="11">
                  <c:v>7.074627382415577E-2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5-4D22-BC1F-61EAC2BE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95160607"/>
        <c:axId val="1495161855"/>
        <c:extLst/>
      </c:bar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'Earnings snaps'!$B$161</c:f>
              <c:strCache>
                <c:ptCount val="1"/>
                <c:pt idx="0">
                  <c:v>Reported MSR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snaps'!$C$160:$J$160</c:f>
              <c:strCache>
                <c:ptCount val="8"/>
                <c:pt idx="0">
                  <c:v>Q1 22</c:v>
                </c:pt>
                <c:pt idx="1">
                  <c:v>Q2 22</c:v>
                </c:pt>
                <c:pt idx="2">
                  <c:v>Q3 22</c:v>
                </c:pt>
                <c:pt idx="3">
                  <c:v>Q4 22</c:v>
                </c:pt>
                <c:pt idx="4">
                  <c:v>Q1 23</c:v>
                </c:pt>
                <c:pt idx="5">
                  <c:v>Q2 23</c:v>
                </c:pt>
                <c:pt idx="6">
                  <c:v>Q3 23</c:v>
                </c:pt>
                <c:pt idx="7">
                  <c:v>Q4 23</c:v>
                </c:pt>
              </c:strCache>
            </c:strRef>
          </c:cat>
          <c:val>
            <c:numRef>
              <c:f>'Earnings snaps'!$C$161:$J$161</c:f>
              <c:numCache>
                <c:formatCode>0.0%</c:formatCode>
                <c:ptCount val="8"/>
                <c:pt idx="0">
                  <c:v>0.06</c:v>
                </c:pt>
                <c:pt idx="1">
                  <c:v>0</c:v>
                </c:pt>
                <c:pt idx="2">
                  <c:v>-6.0000000000000001E-3</c:v>
                </c:pt>
                <c:pt idx="3">
                  <c:v>-7.4999999999999997E-2</c:v>
                </c:pt>
                <c:pt idx="4">
                  <c:v>1.7999999999999999E-2</c:v>
                </c:pt>
                <c:pt idx="5">
                  <c:v>4.0000000000000001E-3</c:v>
                </c:pt>
                <c:pt idx="6">
                  <c:v>4.0000000000000001E-3</c:v>
                </c:pt>
                <c:pt idx="7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7-4986-8373-DD0E19E8F0E7}"/>
            </c:ext>
          </c:extLst>
        </c:ser>
        <c:ser>
          <c:idx val="1"/>
          <c:order val="1"/>
          <c:tx>
            <c:strRef>
              <c:f>'Earnings snaps'!$B$162</c:f>
              <c:strCache>
                <c:ptCount val="1"/>
                <c:pt idx="0">
                  <c:v>B2C postpaid MSR</c:v>
                </c:pt>
              </c:strCache>
            </c:strRef>
          </c:tx>
          <c:spPr>
            <a:solidFill>
              <a:srgbClr val="79909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snaps'!$C$160:$J$160</c:f>
              <c:strCache>
                <c:ptCount val="8"/>
                <c:pt idx="0">
                  <c:v>Q1 22</c:v>
                </c:pt>
                <c:pt idx="1">
                  <c:v>Q2 22</c:v>
                </c:pt>
                <c:pt idx="2">
                  <c:v>Q3 22</c:v>
                </c:pt>
                <c:pt idx="3">
                  <c:v>Q4 22</c:v>
                </c:pt>
                <c:pt idx="4">
                  <c:v>Q1 23</c:v>
                </c:pt>
                <c:pt idx="5">
                  <c:v>Q2 23</c:v>
                </c:pt>
                <c:pt idx="6">
                  <c:v>Q3 23</c:v>
                </c:pt>
                <c:pt idx="7">
                  <c:v>Q4 23</c:v>
                </c:pt>
              </c:strCache>
            </c:strRef>
          </c:cat>
          <c:val>
            <c:numRef>
              <c:f>'Earnings snaps'!$C$162:$J$162</c:f>
              <c:numCache>
                <c:formatCode>General</c:formatCode>
                <c:ptCount val="8"/>
                <c:pt idx="4" formatCode="0.0%">
                  <c:v>3.9E-2</c:v>
                </c:pt>
                <c:pt idx="5" formatCode="0.0%">
                  <c:v>2.8000000000000001E-2</c:v>
                </c:pt>
                <c:pt idx="6" formatCode="0.0%">
                  <c:v>2.3E-2</c:v>
                </c:pt>
                <c:pt idx="7" formatCode="0.0%">
                  <c:v>3.7999999999999999E-2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47-4986-8373-DD0E19E8F0E7}"/>
            </c:ext>
          </c:extLst>
        </c:ser>
        <c:ser>
          <c:idx val="2"/>
          <c:order val="2"/>
          <c:tx>
            <c:strRef>
              <c:f>'Earnings snaps'!$B$163</c:f>
              <c:strCache>
                <c:ptCount val="1"/>
                <c:pt idx="0">
                  <c:v>B2C prepaid MSR</c:v>
                </c:pt>
              </c:strCache>
            </c:strRef>
          </c:tx>
          <c:spPr>
            <a:solidFill>
              <a:srgbClr val="F966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snaps'!$C$160:$J$160</c:f>
              <c:strCache>
                <c:ptCount val="8"/>
                <c:pt idx="0">
                  <c:v>Q1 22</c:v>
                </c:pt>
                <c:pt idx="1">
                  <c:v>Q2 22</c:v>
                </c:pt>
                <c:pt idx="2">
                  <c:v>Q3 22</c:v>
                </c:pt>
                <c:pt idx="3">
                  <c:v>Q4 22</c:v>
                </c:pt>
                <c:pt idx="4">
                  <c:v>Q1 23</c:v>
                </c:pt>
                <c:pt idx="5">
                  <c:v>Q2 23</c:v>
                </c:pt>
                <c:pt idx="6">
                  <c:v>Q3 23</c:v>
                </c:pt>
                <c:pt idx="7">
                  <c:v>Q4 23</c:v>
                </c:pt>
              </c:strCache>
            </c:strRef>
          </c:cat>
          <c:val>
            <c:numRef>
              <c:f>'Earnings snaps'!$C$163:$J$163</c:f>
              <c:numCache>
                <c:formatCode>General</c:formatCode>
                <c:ptCount val="8"/>
                <c:pt idx="4" formatCode="0.0%">
                  <c:v>-0.20200000000000001</c:v>
                </c:pt>
                <c:pt idx="5" formatCode="0.0%">
                  <c:v>-0.21299999999999999</c:v>
                </c:pt>
                <c:pt idx="6" formatCode="0.0%">
                  <c:v>-0.23</c:v>
                </c:pt>
                <c:pt idx="7" formatCode="0.0%">
                  <c:v>-0.16800000000000001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47-4986-8373-DD0E19E8F0E7}"/>
            </c:ext>
          </c:extLst>
        </c:ser>
        <c:ser>
          <c:idx val="3"/>
          <c:order val="3"/>
          <c:tx>
            <c:strRef>
              <c:f>'Earnings snaps'!$B$164</c:f>
              <c:strCache>
                <c:ptCount val="1"/>
                <c:pt idx="0">
                  <c:v>B2B MSR</c:v>
                </c:pt>
              </c:strCache>
            </c:strRef>
          </c:tx>
          <c:spPr>
            <a:solidFill>
              <a:srgbClr val="C7FE0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snaps'!$C$160:$J$160</c:f>
              <c:strCache>
                <c:ptCount val="8"/>
                <c:pt idx="0">
                  <c:v>Q1 22</c:v>
                </c:pt>
                <c:pt idx="1">
                  <c:v>Q2 22</c:v>
                </c:pt>
                <c:pt idx="2">
                  <c:v>Q3 22</c:v>
                </c:pt>
                <c:pt idx="3">
                  <c:v>Q4 22</c:v>
                </c:pt>
                <c:pt idx="4">
                  <c:v>Q1 23</c:v>
                </c:pt>
                <c:pt idx="5">
                  <c:v>Q2 23</c:v>
                </c:pt>
                <c:pt idx="6">
                  <c:v>Q3 23</c:v>
                </c:pt>
                <c:pt idx="7">
                  <c:v>Q4 23</c:v>
                </c:pt>
              </c:strCache>
            </c:strRef>
          </c:cat>
          <c:val>
            <c:numRef>
              <c:f>'Earnings snaps'!$C$164:$J$164</c:f>
              <c:numCache>
                <c:formatCode>General</c:formatCode>
                <c:ptCount val="8"/>
                <c:pt idx="4" formatCode="0.0%">
                  <c:v>7.6999999999999999E-2</c:v>
                </c:pt>
                <c:pt idx="5" formatCode="0.0%">
                  <c:v>4.0000000000000001E-3</c:v>
                </c:pt>
                <c:pt idx="6" formatCode="0.0%">
                  <c:v>2.9000000000000001E-2</c:v>
                </c:pt>
                <c:pt idx="7" formatCode="0.0%">
                  <c:v>-2E-3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47-4986-8373-DD0E19E8F0E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30"/>
        <c:axId val="1495160607"/>
        <c:axId val="1495161855"/>
      </c:bar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'Earnings snaps'!$B$194</c:f>
              <c:strCache>
                <c:ptCount val="1"/>
                <c:pt idx="0">
                  <c:v>Wireline revenue trends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snaps'!$C$193:$N$193</c:f>
              <c:strCache>
                <c:ptCount val="12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  <c:pt idx="6">
                  <c:v>Q3 22</c:v>
                </c:pt>
                <c:pt idx="7">
                  <c:v>Q4 22</c:v>
                </c:pt>
                <c:pt idx="8">
                  <c:v>Q1 23</c:v>
                </c:pt>
                <c:pt idx="9">
                  <c:v>Q2 23</c:v>
                </c:pt>
                <c:pt idx="10">
                  <c:v>Q3 23</c:v>
                </c:pt>
                <c:pt idx="11">
                  <c:v>Q4 23</c:v>
                </c:pt>
              </c:strCache>
            </c:strRef>
          </c:cat>
          <c:val>
            <c:numRef>
              <c:f>'Earnings snaps'!$C$194:$N$194</c:f>
              <c:numCache>
                <c:formatCode>0%</c:formatCode>
                <c:ptCount val="12"/>
                <c:pt idx="0">
                  <c:v>-1.99388152043245E-3</c:v>
                </c:pt>
                <c:pt idx="1">
                  <c:v>6.1982909302777278E-2</c:v>
                </c:pt>
                <c:pt idx="2">
                  <c:v>0.11973470891672799</c:v>
                </c:pt>
                <c:pt idx="3">
                  <c:v>-9.640277350326798E-3</c:v>
                </c:pt>
                <c:pt idx="4">
                  <c:v>0.10746359282727291</c:v>
                </c:pt>
                <c:pt idx="5">
                  <c:v>2.1177180582098165E-2</c:v>
                </c:pt>
                <c:pt idx="6">
                  <c:v>2.1419608462544204E-2</c:v>
                </c:pt>
                <c:pt idx="7">
                  <c:v>7.7498194846858937E-2</c:v>
                </c:pt>
                <c:pt idx="8">
                  <c:v>-6.7296298261438903E-3</c:v>
                </c:pt>
                <c:pt idx="9">
                  <c:v>0.11031617403450955</c:v>
                </c:pt>
                <c:pt idx="10">
                  <c:v>-3.3160942251850845E-3</c:v>
                </c:pt>
                <c:pt idx="11">
                  <c:v>0.10190180510314883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5-4D22-BC1F-61EAC2BE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95160607"/>
        <c:axId val="1495161855"/>
        <c:extLst/>
      </c:bar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'Earnings snaps'!$B$214</c:f>
              <c:strCache>
                <c:ptCount val="1"/>
                <c:pt idx="0">
                  <c:v>Fixed and ICT revenue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snaps'!$C$213:$I$213</c:f>
              <c:strCache>
                <c:ptCount val="7"/>
                <c:pt idx="0">
                  <c:v>Q2 22</c:v>
                </c:pt>
                <c:pt idx="1">
                  <c:v>Q3 22</c:v>
                </c:pt>
                <c:pt idx="2">
                  <c:v>Q4 22</c:v>
                </c:pt>
                <c:pt idx="3">
                  <c:v>Q1 23</c:v>
                </c:pt>
                <c:pt idx="4">
                  <c:v>Q2 23</c:v>
                </c:pt>
                <c:pt idx="5">
                  <c:v>Q3 23</c:v>
                </c:pt>
                <c:pt idx="6">
                  <c:v>Q4 23</c:v>
                </c:pt>
              </c:strCache>
            </c:strRef>
          </c:cat>
          <c:val>
            <c:numRef>
              <c:f>'Earnings snaps'!$C$214:$I$214</c:f>
              <c:numCache>
                <c:formatCode>0.0%</c:formatCode>
                <c:ptCount val="7"/>
                <c:pt idx="0">
                  <c:v>0</c:v>
                </c:pt>
                <c:pt idx="1">
                  <c:v>-0.02</c:v>
                </c:pt>
                <c:pt idx="2">
                  <c:v>0.04</c:v>
                </c:pt>
                <c:pt idx="3">
                  <c:v>-1E-3</c:v>
                </c:pt>
                <c:pt idx="4">
                  <c:v>0.111</c:v>
                </c:pt>
                <c:pt idx="5">
                  <c:v>1.0999999999999999E-2</c:v>
                </c:pt>
                <c:pt idx="6">
                  <c:v>5.8999999999999997E-2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5-4D22-BC1F-61EAC2BE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95160607"/>
        <c:axId val="1495161855"/>
        <c:extLst/>
      </c:bar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3399"/>
              </a:solidFill>
              <a:prstDash val="solid"/>
            </a:ln>
            <a:effectLst/>
          </c:spPr>
          <c:marker>
            <c:symbol val="none"/>
          </c:marker>
          <c:cat>
            <c:numRef>
              <c:f>Valuation!$G$3:$K$3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Valuation!#REF!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A-4481-B933-DED24F70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300736"/>
        <c:axId val="131306624"/>
      </c:lineChart>
      <c:catAx>
        <c:axId val="1313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31306624"/>
        <c:crosses val="autoZero"/>
        <c:auto val="1"/>
        <c:lblAlgn val="ctr"/>
        <c:lblOffset val="100"/>
        <c:noMultiLvlLbl val="0"/>
      </c:catAx>
      <c:valAx>
        <c:axId val="1313066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crossAx val="131300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'Earnings snaps'!$B$238</c:f>
              <c:strCache>
                <c:ptCount val="1"/>
                <c:pt idx="0">
                  <c:v>Calculated MSR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snaps'!$C$237:$J$237</c:f>
              <c:strCache>
                <c:ptCount val="8"/>
                <c:pt idx="0">
                  <c:v>Q1 22</c:v>
                </c:pt>
                <c:pt idx="1">
                  <c:v>Q2 22</c:v>
                </c:pt>
                <c:pt idx="2">
                  <c:v>Q3 22</c:v>
                </c:pt>
                <c:pt idx="3">
                  <c:v>Q4 22</c:v>
                </c:pt>
                <c:pt idx="4">
                  <c:v>Q1 23</c:v>
                </c:pt>
                <c:pt idx="5">
                  <c:v>Q2 23</c:v>
                </c:pt>
                <c:pt idx="6">
                  <c:v>Q3 23</c:v>
                </c:pt>
                <c:pt idx="7">
                  <c:v>Q4 23</c:v>
                </c:pt>
              </c:strCache>
            </c:strRef>
          </c:cat>
          <c:val>
            <c:numRef>
              <c:f>'Earnings snaps'!$C$238:$J$238</c:f>
              <c:numCache>
                <c:formatCode>0.0%</c:formatCode>
                <c:ptCount val="8"/>
                <c:pt idx="0">
                  <c:v>0.14000000000000001</c:v>
                </c:pt>
                <c:pt idx="1">
                  <c:v>0.09</c:v>
                </c:pt>
                <c:pt idx="2">
                  <c:v>8.6999999999999994E-2</c:v>
                </c:pt>
                <c:pt idx="3">
                  <c:v>0.08</c:v>
                </c:pt>
                <c:pt idx="4">
                  <c:v>8.9891272869807803E-2</c:v>
                </c:pt>
                <c:pt idx="5">
                  <c:v>1.3003110658276196E-3</c:v>
                </c:pt>
                <c:pt idx="6">
                  <c:v>-4.2482659473636719E-2</c:v>
                </c:pt>
                <c:pt idx="7">
                  <c:v>5.4259619661090053E-3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7-4986-8373-DD0E19E8F0E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30"/>
        <c:axId val="1495160607"/>
        <c:axId val="1495161855"/>
      </c:bar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272723126469434E-2"/>
          <c:y val="6.1255732877414898E-2"/>
          <c:w val="0.94311112124640806"/>
          <c:h val="0.765851327673796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'Earnings snaps'!$B$240</c:f>
              <c:strCache>
                <c:ptCount val="1"/>
                <c:pt idx="0">
                  <c:v>Fixed and ICT</c:v>
                </c:pt>
              </c:strCache>
            </c:strRef>
          </c:tx>
          <c:spPr>
            <a:solidFill>
              <a:srgbClr val="79909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snaps'!$D$237:$J$237</c:f>
              <c:strCache>
                <c:ptCount val="7"/>
                <c:pt idx="0">
                  <c:v>Q2 22</c:v>
                </c:pt>
                <c:pt idx="1">
                  <c:v>Q3 22</c:v>
                </c:pt>
                <c:pt idx="2">
                  <c:v>Q4 22</c:v>
                </c:pt>
                <c:pt idx="3">
                  <c:v>Q1 23</c:v>
                </c:pt>
                <c:pt idx="4">
                  <c:v>Q2 23</c:v>
                </c:pt>
                <c:pt idx="5">
                  <c:v>Q3 23</c:v>
                </c:pt>
                <c:pt idx="6">
                  <c:v>Q4 23</c:v>
                </c:pt>
              </c:strCache>
            </c:strRef>
          </c:cat>
          <c:val>
            <c:numRef>
              <c:f>'Earnings snaps'!$D$240:$J$240</c:f>
              <c:numCache>
                <c:formatCode>0.0%</c:formatCode>
                <c:ptCount val="7"/>
                <c:pt idx="0">
                  <c:v>-0.11</c:v>
                </c:pt>
                <c:pt idx="1">
                  <c:v>-0.09</c:v>
                </c:pt>
                <c:pt idx="2">
                  <c:v>0.3</c:v>
                </c:pt>
                <c:pt idx="3">
                  <c:v>0.156</c:v>
                </c:pt>
                <c:pt idx="4">
                  <c:v>0.13800000000000001</c:v>
                </c:pt>
                <c:pt idx="5">
                  <c:v>-7.0000000000000001E-3</c:v>
                </c:pt>
                <c:pt idx="6">
                  <c:v>5.3999999999999999E-2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1-462A-BA45-245926CD8B2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30"/>
        <c:axId val="1495160607"/>
        <c:axId val="1495161855"/>
      </c:bar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'Earnings snaps'!$B$279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rgbClr val="263238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snaps'!$C$278:$N$278</c:f>
              <c:strCache>
                <c:ptCount val="12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  <c:pt idx="6">
                  <c:v>Q3 22</c:v>
                </c:pt>
                <c:pt idx="7">
                  <c:v>Q4 22</c:v>
                </c:pt>
                <c:pt idx="8">
                  <c:v>Q1 23</c:v>
                </c:pt>
                <c:pt idx="9">
                  <c:v>Q2 23</c:v>
                </c:pt>
                <c:pt idx="10">
                  <c:v>Q3 23</c:v>
                </c:pt>
                <c:pt idx="11">
                  <c:v>Q4 23</c:v>
                </c:pt>
              </c:strCache>
            </c:strRef>
          </c:cat>
          <c:val>
            <c:numRef>
              <c:f>'Earnings snaps'!$C$279:$N$279</c:f>
              <c:numCache>
                <c:formatCode>0%</c:formatCode>
                <c:ptCount val="12"/>
                <c:pt idx="0">
                  <c:v>0.36679407451315044</c:v>
                </c:pt>
                <c:pt idx="1">
                  <c:v>0.38937232037346303</c:v>
                </c:pt>
                <c:pt idx="2">
                  <c:v>0.39263109877786861</c:v>
                </c:pt>
                <c:pt idx="3">
                  <c:v>0.37719628412625472</c:v>
                </c:pt>
                <c:pt idx="4">
                  <c:v>0.37010821200581695</c:v>
                </c:pt>
                <c:pt idx="5">
                  <c:v>0.35615535297219919</c:v>
                </c:pt>
                <c:pt idx="6">
                  <c:v>0.33293486507783548</c:v>
                </c:pt>
                <c:pt idx="7">
                  <c:v>0.30058092683689547</c:v>
                </c:pt>
                <c:pt idx="8">
                  <c:v>0.30998881966187358</c:v>
                </c:pt>
                <c:pt idx="9">
                  <c:v>0.34718972636494561</c:v>
                </c:pt>
                <c:pt idx="10">
                  <c:v>0.3316487963578294</c:v>
                </c:pt>
                <c:pt idx="11">
                  <c:v>0.27547220350976792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F-4D4E-A9CA-D5AA75EDF64E}"/>
            </c:ext>
          </c:extLst>
        </c:ser>
        <c:ser>
          <c:idx val="1"/>
          <c:order val="1"/>
          <c:tx>
            <c:strRef>
              <c:f>'Earnings snaps'!$B$280</c:f>
              <c:strCache>
                <c:ptCount val="1"/>
                <c:pt idx="0">
                  <c:v>Peru</c:v>
                </c:pt>
              </c:strCache>
            </c:strRef>
          </c:tx>
          <c:spPr>
            <a:ln w="28575" cap="rnd">
              <a:solidFill>
                <a:srgbClr val="79909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snaps'!$C$278:$N$278</c:f>
              <c:strCache>
                <c:ptCount val="12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  <c:pt idx="6">
                  <c:v>Q3 22</c:v>
                </c:pt>
                <c:pt idx="7">
                  <c:v>Q4 22</c:v>
                </c:pt>
                <c:pt idx="8">
                  <c:v>Q1 23</c:v>
                </c:pt>
                <c:pt idx="9">
                  <c:v>Q2 23</c:v>
                </c:pt>
                <c:pt idx="10">
                  <c:v>Q3 23</c:v>
                </c:pt>
                <c:pt idx="11">
                  <c:v>Q4 23</c:v>
                </c:pt>
              </c:strCache>
            </c:strRef>
          </c:cat>
          <c:val>
            <c:numRef>
              <c:f>'Earnings snaps'!$C$280:$N$280</c:f>
              <c:numCache>
                <c:formatCode>0%</c:formatCode>
                <c:ptCount val="12"/>
                <c:pt idx="0">
                  <c:v>0.16462087627382119</c:v>
                </c:pt>
                <c:pt idx="1">
                  <c:v>0.17955973154362417</c:v>
                </c:pt>
                <c:pt idx="2">
                  <c:v>0.1907273059806133</c:v>
                </c:pt>
                <c:pt idx="3">
                  <c:v>0.14423671164662205</c:v>
                </c:pt>
                <c:pt idx="4">
                  <c:v>0.18326351122791495</c:v>
                </c:pt>
                <c:pt idx="5">
                  <c:v>0.21352283643349926</c:v>
                </c:pt>
                <c:pt idx="6">
                  <c:v>0.18966114203970807</c:v>
                </c:pt>
                <c:pt idx="7">
                  <c:v>0.21239953555035468</c:v>
                </c:pt>
                <c:pt idx="8">
                  <c:v>0.22401525036698744</c:v>
                </c:pt>
                <c:pt idx="9">
                  <c:v>0.24238186557533817</c:v>
                </c:pt>
                <c:pt idx="10">
                  <c:v>0.26931822054735161</c:v>
                </c:pt>
                <c:pt idx="11">
                  <c:v>0.25331142407166329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F-4D4E-A9CA-D5AA75EDF64E}"/>
            </c:ext>
          </c:extLst>
        </c:ser>
        <c:ser>
          <c:idx val="2"/>
          <c:order val="2"/>
          <c:tx>
            <c:strRef>
              <c:f>'Earnings snaps'!$B$282</c:f>
              <c:strCache>
                <c:ptCount val="1"/>
                <c:pt idx="0">
                  <c:v>Group</c:v>
                </c:pt>
              </c:strCache>
            </c:strRef>
          </c:tx>
          <c:spPr>
            <a:ln w="28575" cap="rnd">
              <a:solidFill>
                <a:srgbClr val="F9663E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snaps'!$C$278:$N$278</c:f>
              <c:strCache>
                <c:ptCount val="12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  <c:pt idx="6">
                  <c:v>Q3 22</c:v>
                </c:pt>
                <c:pt idx="7">
                  <c:v>Q4 22</c:v>
                </c:pt>
                <c:pt idx="8">
                  <c:v>Q1 23</c:v>
                </c:pt>
                <c:pt idx="9">
                  <c:v>Q2 23</c:v>
                </c:pt>
                <c:pt idx="10">
                  <c:v>Q3 23</c:v>
                </c:pt>
                <c:pt idx="11">
                  <c:v>Q4 23</c:v>
                </c:pt>
              </c:strCache>
            </c:strRef>
          </c:cat>
          <c:val>
            <c:numRef>
              <c:f>'Earnings snaps'!$C$282:$N$282</c:f>
              <c:numCache>
                <c:formatCode>0%</c:formatCode>
                <c:ptCount val="12"/>
                <c:pt idx="0">
                  <c:v>0.31225352038385329</c:v>
                </c:pt>
                <c:pt idx="1">
                  <c:v>0.32433674996196626</c:v>
                </c:pt>
                <c:pt idx="2">
                  <c:v>0.32717303070846687</c:v>
                </c:pt>
                <c:pt idx="3">
                  <c:v>0.29736445908718073</c:v>
                </c:pt>
                <c:pt idx="4">
                  <c:v>0.30200741298056283</c:v>
                </c:pt>
                <c:pt idx="5">
                  <c:v>0.30280957022569666</c:v>
                </c:pt>
                <c:pt idx="6">
                  <c:v>0.28111602147428238</c:v>
                </c:pt>
                <c:pt idx="7">
                  <c:v>0.2683619511800388</c:v>
                </c:pt>
                <c:pt idx="8">
                  <c:v>0.28247230727592287</c:v>
                </c:pt>
                <c:pt idx="9">
                  <c:v>0.31281496722641056</c:v>
                </c:pt>
                <c:pt idx="10">
                  <c:v>0.30797100275655209</c:v>
                </c:pt>
                <c:pt idx="11">
                  <c:v>0.26875753820507231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F-4D4E-A9CA-D5AA75EDF6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95160607"/>
        <c:axId val="1495161855"/>
      </c:line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'Earnings snaps'!$B$304</c:f>
              <c:strCache>
                <c:ptCount val="1"/>
                <c:pt idx="0">
                  <c:v>Chile </c:v>
                </c:pt>
              </c:strCache>
            </c:strRef>
          </c:tx>
          <c:spPr>
            <a:ln w="28575" cap="rnd">
              <a:solidFill>
                <a:srgbClr val="263238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snaps'!$C$303:$N$303</c:f>
              <c:strCache>
                <c:ptCount val="12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  <c:pt idx="6">
                  <c:v>Q3 22</c:v>
                </c:pt>
                <c:pt idx="7">
                  <c:v>Q4 22</c:v>
                </c:pt>
                <c:pt idx="8">
                  <c:v>Q1 23</c:v>
                </c:pt>
                <c:pt idx="9">
                  <c:v>Q2 23</c:v>
                </c:pt>
                <c:pt idx="10">
                  <c:v>Q3 23</c:v>
                </c:pt>
                <c:pt idx="11">
                  <c:v>Q4 23</c:v>
                </c:pt>
              </c:strCache>
            </c:strRef>
          </c:cat>
          <c:val>
            <c:numRef>
              <c:f>'Earnings snaps'!$C$304:$N$304</c:f>
              <c:numCache>
                <c:formatCode>0%</c:formatCode>
                <c:ptCount val="12"/>
                <c:pt idx="0">
                  <c:v>0.20340117630827248</c:v>
                </c:pt>
                <c:pt idx="1">
                  <c:v>0.18402381022140185</c:v>
                </c:pt>
                <c:pt idx="2">
                  <c:v>0.2135926482048163</c:v>
                </c:pt>
                <c:pt idx="3">
                  <c:v>0.24953066658045864</c:v>
                </c:pt>
                <c:pt idx="4">
                  <c:v>0.21254120955314013</c:v>
                </c:pt>
                <c:pt idx="5">
                  <c:v>0.2434194417238002</c:v>
                </c:pt>
                <c:pt idx="6">
                  <c:v>0.23797581379009181</c:v>
                </c:pt>
                <c:pt idx="7">
                  <c:v>0.24986829919536221</c:v>
                </c:pt>
                <c:pt idx="8">
                  <c:v>0.19387821919768342</c:v>
                </c:pt>
                <c:pt idx="9">
                  <c:v>0.23367830775929302</c:v>
                </c:pt>
                <c:pt idx="10">
                  <c:v>0.20696991638480841</c:v>
                </c:pt>
                <c:pt idx="11">
                  <c:v>0.1620853914256758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F-4D4E-A9CA-D5AA75EDF64E}"/>
            </c:ext>
          </c:extLst>
        </c:ser>
        <c:ser>
          <c:idx val="1"/>
          <c:order val="1"/>
          <c:tx>
            <c:strRef>
              <c:f>'Earnings snaps'!$B$305</c:f>
              <c:strCache>
                <c:ptCount val="1"/>
                <c:pt idx="0">
                  <c:v>Peru</c:v>
                </c:pt>
              </c:strCache>
            </c:strRef>
          </c:tx>
          <c:spPr>
            <a:ln w="28575" cap="rnd">
              <a:solidFill>
                <a:srgbClr val="79909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snaps'!$C$303:$N$303</c:f>
              <c:strCache>
                <c:ptCount val="12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  <c:pt idx="6">
                  <c:v>Q3 22</c:v>
                </c:pt>
                <c:pt idx="7">
                  <c:v>Q4 22</c:v>
                </c:pt>
                <c:pt idx="8">
                  <c:v>Q1 23</c:v>
                </c:pt>
                <c:pt idx="9">
                  <c:v>Q2 23</c:v>
                </c:pt>
                <c:pt idx="10">
                  <c:v>Q3 23</c:v>
                </c:pt>
                <c:pt idx="11">
                  <c:v>Q4 23</c:v>
                </c:pt>
              </c:strCache>
            </c:strRef>
          </c:cat>
          <c:val>
            <c:numRef>
              <c:f>'Earnings snaps'!$C$305:$N$305</c:f>
              <c:numCache>
                <c:formatCode>0%</c:formatCode>
                <c:ptCount val="12"/>
                <c:pt idx="0">
                  <c:v>0.12411192354194255</c:v>
                </c:pt>
                <c:pt idx="1">
                  <c:v>0.18249127516778524</c:v>
                </c:pt>
                <c:pt idx="2">
                  <c:v>7.8090389969314555E-2</c:v>
                </c:pt>
                <c:pt idx="3">
                  <c:v>9.6058510993041815E-2</c:v>
                </c:pt>
                <c:pt idx="4">
                  <c:v>8.0559964611901846E-2</c:v>
                </c:pt>
                <c:pt idx="5">
                  <c:v>0.11802899310103922</c:v>
                </c:pt>
                <c:pt idx="6">
                  <c:v>0.14531986041129466</c:v>
                </c:pt>
                <c:pt idx="7">
                  <c:v>0.20329196828679766</c:v>
                </c:pt>
                <c:pt idx="8">
                  <c:v>0.16274363888435817</c:v>
                </c:pt>
                <c:pt idx="9">
                  <c:v>0.15684076852285056</c:v>
                </c:pt>
                <c:pt idx="10">
                  <c:v>0.12388199952285663</c:v>
                </c:pt>
                <c:pt idx="11">
                  <c:v>0.21025608346154195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F-4D4E-A9CA-D5AA75EDF64E}"/>
            </c:ext>
          </c:extLst>
        </c:ser>
        <c:ser>
          <c:idx val="2"/>
          <c:order val="2"/>
          <c:tx>
            <c:strRef>
              <c:f>'Earnings snaps'!$B$306</c:f>
              <c:strCache>
                <c:ptCount val="1"/>
                <c:pt idx="0">
                  <c:v>Group</c:v>
                </c:pt>
              </c:strCache>
            </c:strRef>
          </c:tx>
          <c:spPr>
            <a:ln w="28575" cap="rnd">
              <a:solidFill>
                <a:srgbClr val="F9663E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snaps'!$C$303:$N$303</c:f>
              <c:strCache>
                <c:ptCount val="12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  <c:pt idx="6">
                  <c:v>Q3 22</c:v>
                </c:pt>
                <c:pt idx="7">
                  <c:v>Q4 22</c:v>
                </c:pt>
                <c:pt idx="8">
                  <c:v>Q1 23</c:v>
                </c:pt>
                <c:pt idx="9">
                  <c:v>Q2 23</c:v>
                </c:pt>
                <c:pt idx="10">
                  <c:v>Q3 23</c:v>
                </c:pt>
                <c:pt idx="11">
                  <c:v>Q4 23</c:v>
                </c:pt>
              </c:strCache>
            </c:strRef>
          </c:cat>
          <c:val>
            <c:numRef>
              <c:f>'Earnings snaps'!$C$306:$N$306</c:f>
              <c:numCache>
                <c:formatCode>0%</c:formatCode>
                <c:ptCount val="12"/>
                <c:pt idx="0">
                  <c:v>0.17787322925878976</c:v>
                </c:pt>
                <c:pt idx="1">
                  <c:v>0.18282947673922892</c:v>
                </c:pt>
                <c:pt idx="2">
                  <c:v>0.16888373391342851</c:v>
                </c:pt>
                <c:pt idx="3">
                  <c:v>0.19659591758760753</c:v>
                </c:pt>
                <c:pt idx="4">
                  <c:v>0.16417797923196106</c:v>
                </c:pt>
                <c:pt idx="5">
                  <c:v>0.19648460981037019</c:v>
                </c:pt>
                <c:pt idx="6">
                  <c:v>0.20343519368344293</c:v>
                </c:pt>
                <c:pt idx="7">
                  <c:v>0.23139373115096964</c:v>
                </c:pt>
                <c:pt idx="8">
                  <c:v>0.18239698176209529</c:v>
                </c:pt>
                <c:pt idx="9">
                  <c:v>0.20751048609166245</c:v>
                </c:pt>
                <c:pt idx="10">
                  <c:v>0.17639018006666257</c:v>
                </c:pt>
                <c:pt idx="11">
                  <c:v>0.17564121317836945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F-4D4E-A9CA-D5AA75EDF6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95160607"/>
        <c:axId val="1495161855"/>
      </c:line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'Earnings snaps'!$B$327</c:f>
              <c:strCache>
                <c:ptCount val="1"/>
                <c:pt idx="0">
                  <c:v>Net debt (IAS 17)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snaps'!$C$326:$N$326</c:f>
              <c:strCache>
                <c:ptCount val="12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  <c:pt idx="6">
                  <c:v>Q3 22</c:v>
                </c:pt>
                <c:pt idx="7">
                  <c:v>Q4 22</c:v>
                </c:pt>
                <c:pt idx="8">
                  <c:v>Q1 23</c:v>
                </c:pt>
                <c:pt idx="9">
                  <c:v>Q2 23</c:v>
                </c:pt>
                <c:pt idx="10">
                  <c:v>Q3 23</c:v>
                </c:pt>
                <c:pt idx="11">
                  <c:v>Q4 23</c:v>
                </c:pt>
              </c:strCache>
            </c:strRef>
          </c:cat>
          <c:val>
            <c:numRef>
              <c:f>'Earnings snaps'!$C$327:$N$327</c:f>
              <c:numCache>
                <c:formatCode>0.0</c:formatCode>
                <c:ptCount val="12"/>
                <c:pt idx="0">
                  <c:v>2.3592912864292024</c:v>
                </c:pt>
                <c:pt idx="1">
                  <c:v>2.0173684022600176</c:v>
                </c:pt>
                <c:pt idx="2">
                  <c:v>1.711325187747176</c:v>
                </c:pt>
                <c:pt idx="3">
                  <c:v>1.9995400509482026</c:v>
                </c:pt>
                <c:pt idx="4">
                  <c:v>2.112220387107449</c:v>
                </c:pt>
                <c:pt idx="5">
                  <c:v>2.0989220598018381</c:v>
                </c:pt>
                <c:pt idx="6">
                  <c:v>2.3517138553243608</c:v>
                </c:pt>
                <c:pt idx="7">
                  <c:v>2.6043516656836259</c:v>
                </c:pt>
                <c:pt idx="8">
                  <c:v>2.8349534088623716</c:v>
                </c:pt>
                <c:pt idx="9">
                  <c:v>3.0586815665905931</c:v>
                </c:pt>
                <c:pt idx="10">
                  <c:v>2.7405325102554787</c:v>
                </c:pt>
                <c:pt idx="11">
                  <c:v>1.8883415435139572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7-4986-8373-DD0E19E8F0E7}"/>
            </c:ext>
          </c:extLst>
        </c:ser>
        <c:ser>
          <c:idx val="1"/>
          <c:order val="1"/>
          <c:tx>
            <c:strRef>
              <c:f>'Earnings snaps'!$B$328</c:f>
              <c:strCache>
                <c:ptCount val="1"/>
                <c:pt idx="0">
                  <c:v>Net debt (IFRS 16)</c:v>
                </c:pt>
              </c:strCache>
            </c:strRef>
          </c:tx>
          <c:spPr>
            <a:solidFill>
              <a:srgbClr val="79909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snaps'!$C$326:$N$326</c:f>
              <c:strCache>
                <c:ptCount val="12"/>
                <c:pt idx="0">
                  <c:v>Q1 21</c:v>
                </c:pt>
                <c:pt idx="1">
                  <c:v>Q2 21</c:v>
                </c:pt>
                <c:pt idx="2">
                  <c:v>Q3 21</c:v>
                </c:pt>
                <c:pt idx="3">
                  <c:v>Q4 21</c:v>
                </c:pt>
                <c:pt idx="4">
                  <c:v>Q1 22</c:v>
                </c:pt>
                <c:pt idx="5">
                  <c:v>Q2 22</c:v>
                </c:pt>
                <c:pt idx="6">
                  <c:v>Q3 22</c:v>
                </c:pt>
                <c:pt idx="7">
                  <c:v>Q4 22</c:v>
                </c:pt>
                <c:pt idx="8">
                  <c:v>Q1 23</c:v>
                </c:pt>
                <c:pt idx="9">
                  <c:v>Q2 23</c:v>
                </c:pt>
                <c:pt idx="10">
                  <c:v>Q3 23</c:v>
                </c:pt>
                <c:pt idx="11">
                  <c:v>Q4 23</c:v>
                </c:pt>
              </c:strCache>
            </c:strRef>
          </c:cat>
          <c:val>
            <c:numRef>
              <c:f>'Earnings snaps'!$C$328:$N$328</c:f>
              <c:numCache>
                <c:formatCode>0.0</c:formatCode>
                <c:ptCount val="12"/>
                <c:pt idx="0">
                  <c:v>2.6916027554569757</c:v>
                </c:pt>
                <c:pt idx="1">
                  <c:v>2.3649835369091874</c:v>
                </c:pt>
                <c:pt idx="2">
                  <c:v>2.1453859894418423</c:v>
                </c:pt>
                <c:pt idx="3">
                  <c:v>2.4508625426346944</c:v>
                </c:pt>
                <c:pt idx="4">
                  <c:v>2.5325104192762304</c:v>
                </c:pt>
                <c:pt idx="5">
                  <c:v>2.5534455210609091</c:v>
                </c:pt>
                <c:pt idx="6">
                  <c:v>2.7743643862045748</c:v>
                </c:pt>
                <c:pt idx="7">
                  <c:v>2.5530118647192248</c:v>
                </c:pt>
                <c:pt idx="8">
                  <c:v>3.0700001378226776</c:v>
                </c:pt>
                <c:pt idx="9">
                  <c:v>3.2447395403784856</c:v>
                </c:pt>
                <c:pt idx="10">
                  <c:v>3.0093143763167136</c:v>
                </c:pt>
                <c:pt idx="11">
                  <c:v>2.3164841161048191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47-4986-8373-DD0E19E8F0E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30"/>
        <c:axId val="1495160607"/>
        <c:axId val="1495161855"/>
      </c:bar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'Earnings snaps'!$B$161</c:f>
              <c:strCache>
                <c:ptCount val="1"/>
                <c:pt idx="0">
                  <c:v>Reported MSR</c:v>
                </c:pt>
              </c:strCache>
            </c:strRef>
          </c:tx>
          <c:spPr>
            <a:solidFill>
              <a:srgbClr val="26323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rgbClr val="4D4D4D"/>
                    </a:solidFill>
                    <a:latin typeface="Roboto" pitchFamily="2" charset="0"/>
                    <a:ea typeface="Roboto" pitchFamily="2" charset="0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'Earnings snaps'!$C$160:$J$160</c:f>
              <c:strCache>
                <c:ptCount val="8"/>
                <c:pt idx="0">
                  <c:v>Q1 22</c:v>
                </c:pt>
                <c:pt idx="1">
                  <c:v>Q2 22</c:v>
                </c:pt>
                <c:pt idx="2">
                  <c:v>Q3 22</c:v>
                </c:pt>
                <c:pt idx="3">
                  <c:v>Q4 22</c:v>
                </c:pt>
                <c:pt idx="4">
                  <c:v>Q1 23</c:v>
                </c:pt>
                <c:pt idx="5">
                  <c:v>Q2 23</c:v>
                </c:pt>
                <c:pt idx="6">
                  <c:v>Q3 23</c:v>
                </c:pt>
                <c:pt idx="7">
                  <c:v>Q4 23</c:v>
                </c:pt>
              </c:strCache>
            </c:strRef>
          </c:cat>
          <c:val>
            <c:numRef>
              <c:f>'Earnings snaps'!$C$161:$J$161</c:f>
              <c:numCache>
                <c:formatCode>0.0%</c:formatCode>
                <c:ptCount val="8"/>
                <c:pt idx="0">
                  <c:v>0.06</c:v>
                </c:pt>
                <c:pt idx="1">
                  <c:v>0</c:v>
                </c:pt>
                <c:pt idx="2">
                  <c:v>-6.0000000000000001E-3</c:v>
                </c:pt>
                <c:pt idx="3">
                  <c:v>-7.4999999999999997E-2</c:v>
                </c:pt>
                <c:pt idx="4">
                  <c:v>1.7999999999999999E-2</c:v>
                </c:pt>
                <c:pt idx="5">
                  <c:v>4.0000000000000001E-3</c:v>
                </c:pt>
                <c:pt idx="6">
                  <c:v>4.0000000000000001E-3</c:v>
                </c:pt>
                <c:pt idx="7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3-44EA-939E-789247C3606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30"/>
        <c:axId val="1495160607"/>
        <c:axId val="1495161855"/>
      </c:barChart>
      <c:catAx>
        <c:axId val="149516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Roboto" pitchFamily="2" charset="0"/>
                <a:cs typeface="+mn-cs"/>
              </a:defRPr>
            </a:pPr>
            <a:endParaRPr lang="en-US"/>
          </a:p>
        </c:txPr>
        <c:crossAx val="1495161855"/>
        <c:crosses val="autoZero"/>
        <c:auto val="1"/>
        <c:lblAlgn val="ctr"/>
        <c:lblOffset val="100"/>
        <c:noMultiLvlLbl val="0"/>
      </c:catAx>
      <c:valAx>
        <c:axId val="1495161855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49516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Roboto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Analysis!$B$64</c:f>
              <c:strCache>
                <c:ptCount val="1"/>
                <c:pt idx="0">
                  <c:v>Voice yield per minute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Analysis!$I$63:$AB$63</c:f>
              <c:strCache>
                <c:ptCount val="20"/>
                <c:pt idx="0">
                  <c:v>Q3 08</c:v>
                </c:pt>
                <c:pt idx="1">
                  <c:v>Q4 08</c:v>
                </c:pt>
                <c:pt idx="3">
                  <c:v>Q1 09</c:v>
                </c:pt>
                <c:pt idx="4">
                  <c:v>Q2 09</c:v>
                </c:pt>
                <c:pt idx="5">
                  <c:v>Q3 09</c:v>
                </c:pt>
                <c:pt idx="6">
                  <c:v>Q4 09</c:v>
                </c:pt>
                <c:pt idx="7">
                  <c:v>Q1 10</c:v>
                </c:pt>
                <c:pt idx="8">
                  <c:v>Q2 10</c:v>
                </c:pt>
                <c:pt idx="9">
                  <c:v>Q3 10</c:v>
                </c:pt>
                <c:pt idx="10">
                  <c:v>Q4 10</c:v>
                </c:pt>
                <c:pt idx="11">
                  <c:v>Q1 11</c:v>
                </c:pt>
                <c:pt idx="12">
                  <c:v>Q2 11</c:v>
                </c:pt>
                <c:pt idx="13">
                  <c:v>Q3 11</c:v>
                </c:pt>
                <c:pt idx="14">
                  <c:v>Q4 11</c:v>
                </c:pt>
                <c:pt idx="15">
                  <c:v>Q 12</c:v>
                </c:pt>
                <c:pt idx="16">
                  <c:v>Q2 12</c:v>
                </c:pt>
                <c:pt idx="17">
                  <c:v>Q3 12</c:v>
                </c:pt>
                <c:pt idx="18">
                  <c:v>Q4 12</c:v>
                </c:pt>
                <c:pt idx="19">
                  <c:v>Q1 13</c:v>
                </c:pt>
              </c:strCache>
            </c:strRef>
          </c:cat>
          <c:val>
            <c:numRef>
              <c:f>Analysis!$I$65:$AB$65</c:f>
              <c:numCache>
                <c:formatCode>0</c:formatCode>
                <c:ptCount val="20"/>
                <c:pt idx="0">
                  <c:v>70.250853138569624</c:v>
                </c:pt>
                <c:pt idx="1">
                  <c:v>75.555964750507798</c:v>
                </c:pt>
                <c:pt idx="3">
                  <c:v>79.785337401292196</c:v>
                </c:pt>
                <c:pt idx="4">
                  <c:v>68.847232043276705</c:v>
                </c:pt>
                <c:pt idx="5">
                  <c:v>65.836136655594146</c:v>
                </c:pt>
                <c:pt idx="6">
                  <c:v>61.772726010852573</c:v>
                </c:pt>
                <c:pt idx="7">
                  <c:v>58.228268449689629</c:v>
                </c:pt>
                <c:pt idx="8">
                  <c:v>61.322598517440895</c:v>
                </c:pt>
                <c:pt idx="9">
                  <c:v>54.27056379530913</c:v>
                </c:pt>
                <c:pt idx="10">
                  <c:v>55.921630281934839</c:v>
                </c:pt>
                <c:pt idx="11">
                  <c:v>53.79339367378541</c:v>
                </c:pt>
                <c:pt idx="12">
                  <c:v>51.326778338051177</c:v>
                </c:pt>
                <c:pt idx="13">
                  <c:v>50.014878901908219</c:v>
                </c:pt>
                <c:pt idx="14">
                  <c:v>49.06726496869851</c:v>
                </c:pt>
                <c:pt idx="15">
                  <c:v>50.477081712562658</c:v>
                </c:pt>
                <c:pt idx="16">
                  <c:v>47.401294033561904</c:v>
                </c:pt>
                <c:pt idx="17">
                  <c:v>46.509972158011998</c:v>
                </c:pt>
                <c:pt idx="18">
                  <c:v>47.658273797616665</c:v>
                </c:pt>
                <c:pt idx="19">
                  <c:v>49.637458432976857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9-466E-972D-0539195894D5}"/>
            </c:ext>
          </c:extLst>
        </c:ser>
        <c:ser>
          <c:idx val="1"/>
          <c:order val="1"/>
          <c:tx>
            <c:strRef>
              <c:f>Analysis!$B$66</c:f>
              <c:strCache>
                <c:ptCount val="1"/>
                <c:pt idx="0">
                  <c:v>MTR rate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Analysis!$I$63:$AB$63</c:f>
              <c:strCache>
                <c:ptCount val="20"/>
                <c:pt idx="0">
                  <c:v>Q3 08</c:v>
                </c:pt>
                <c:pt idx="1">
                  <c:v>Q4 08</c:v>
                </c:pt>
                <c:pt idx="3">
                  <c:v>Q1 09</c:v>
                </c:pt>
                <c:pt idx="4">
                  <c:v>Q2 09</c:v>
                </c:pt>
                <c:pt idx="5">
                  <c:v>Q3 09</c:v>
                </c:pt>
                <c:pt idx="6">
                  <c:v>Q4 09</c:v>
                </c:pt>
                <c:pt idx="7">
                  <c:v>Q1 10</c:v>
                </c:pt>
                <c:pt idx="8">
                  <c:v>Q2 10</c:v>
                </c:pt>
                <c:pt idx="9">
                  <c:v>Q3 10</c:v>
                </c:pt>
                <c:pt idx="10">
                  <c:v>Q4 10</c:v>
                </c:pt>
                <c:pt idx="11">
                  <c:v>Q1 11</c:v>
                </c:pt>
                <c:pt idx="12">
                  <c:v>Q2 11</c:v>
                </c:pt>
                <c:pt idx="13">
                  <c:v>Q3 11</c:v>
                </c:pt>
                <c:pt idx="14">
                  <c:v>Q4 11</c:v>
                </c:pt>
                <c:pt idx="15">
                  <c:v>Q 12</c:v>
                </c:pt>
                <c:pt idx="16">
                  <c:v>Q2 12</c:v>
                </c:pt>
                <c:pt idx="17">
                  <c:v>Q3 12</c:v>
                </c:pt>
                <c:pt idx="18">
                  <c:v>Q4 12</c:v>
                </c:pt>
                <c:pt idx="19">
                  <c:v>Q1 13</c:v>
                </c:pt>
              </c:strCache>
            </c:strRef>
          </c:cat>
          <c:val>
            <c:numRef>
              <c:f>Analysis!$I$66:$AB$66</c:f>
              <c:numCache>
                <c:formatCode>0</c:formatCode>
                <c:ptCount val="20"/>
                <c:pt idx="0">
                  <c:v>118.18181818181817</c:v>
                </c:pt>
                <c:pt idx="1">
                  <c:v>118.18181818181817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9-466E-972D-053919589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30464"/>
        <c:axId val="132436352"/>
      </c:lineChart>
      <c:catAx>
        <c:axId val="132430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32436352"/>
        <c:crosses val="autoZero"/>
        <c:auto val="1"/>
        <c:lblAlgn val="ctr"/>
        <c:lblOffset val="100"/>
        <c:noMultiLvlLbl val="0"/>
      </c:catAx>
      <c:valAx>
        <c:axId val="1324363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32430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Analysis!$B$68</c:f>
              <c:strCache>
                <c:ptCount val="1"/>
                <c:pt idx="0">
                  <c:v>% voice revs growth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  <a:effectLst/>
          </c:spPr>
          <c:invertIfNegative val="0"/>
          <c:cat>
            <c:strRef>
              <c:f>Analysis!$G$63:$W$63</c:f>
              <c:strCache>
                <c:ptCount val="17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5">
                  <c:v>Q1 09</c:v>
                </c:pt>
                <c:pt idx="6">
                  <c:v>Q2 09</c:v>
                </c:pt>
                <c:pt idx="7">
                  <c:v>Q3 09</c:v>
                </c:pt>
                <c:pt idx="8">
                  <c:v>Q4 09</c:v>
                </c:pt>
                <c:pt idx="9">
                  <c:v>Q1 10</c:v>
                </c:pt>
                <c:pt idx="10">
                  <c:v>Q2 10</c:v>
                </c:pt>
                <c:pt idx="11">
                  <c:v>Q3 10</c:v>
                </c:pt>
                <c:pt idx="12">
                  <c:v>Q4 10</c:v>
                </c:pt>
                <c:pt idx="13">
                  <c:v>Q1 11</c:v>
                </c:pt>
                <c:pt idx="14">
                  <c:v>Q2 11</c:v>
                </c:pt>
                <c:pt idx="15">
                  <c:v>Q3 11</c:v>
                </c:pt>
                <c:pt idx="16">
                  <c:v>Q4 11</c:v>
                </c:pt>
              </c:strCache>
            </c:strRef>
          </c:cat>
          <c:val>
            <c:numRef>
              <c:f>Analysis!$G$68:$W$68</c:f>
              <c:numCache>
                <c:formatCode>0%</c:formatCode>
                <c:ptCount val="17"/>
                <c:pt idx="0">
                  <c:v>6.5732019835266886E-2</c:v>
                </c:pt>
                <c:pt idx="1">
                  <c:v>2.3257040872498358E-2</c:v>
                </c:pt>
                <c:pt idx="2">
                  <c:v>1.4323375408501704E-2</c:v>
                </c:pt>
                <c:pt idx="3">
                  <c:v>4.3537072227729068E-2</c:v>
                </c:pt>
                <c:pt idx="5">
                  <c:v>3.0086158558275677E-3</c:v>
                </c:pt>
                <c:pt idx="6">
                  <c:v>-7.4292971230401017E-2</c:v>
                </c:pt>
                <c:pt idx="7">
                  <c:v>-6.8922771043932407E-2</c:v>
                </c:pt>
                <c:pt idx="8">
                  <c:v>-0.11928964645006901</c:v>
                </c:pt>
                <c:pt idx="9">
                  <c:v>-2.7272836567361569E-2</c:v>
                </c:pt>
                <c:pt idx="10">
                  <c:v>0.13059967285774587</c:v>
                </c:pt>
                <c:pt idx="11">
                  <c:v>7.5999356809776542E-2</c:v>
                </c:pt>
                <c:pt idx="12">
                  <c:v>0.14061326882053615</c:v>
                </c:pt>
                <c:pt idx="13">
                  <c:v>0.12719149172841271</c:v>
                </c:pt>
                <c:pt idx="14">
                  <c:v>7.3633303581325027E-2</c:v>
                </c:pt>
                <c:pt idx="15">
                  <c:v>0.10777029248435355</c:v>
                </c:pt>
                <c:pt idx="16">
                  <c:v>7.9500574652596301E-2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7-44D7-AECB-B87482CDC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38368"/>
        <c:axId val="132524288"/>
      </c:barChart>
      <c:lineChart>
        <c:grouping val="standard"/>
        <c:varyColors val="0"/>
        <c:ser>
          <c:idx val="1"/>
          <c:order val="1"/>
          <c:tx>
            <c:strRef>
              <c:f>Analysis!$B$66</c:f>
              <c:strCache>
                <c:ptCount val="1"/>
                <c:pt idx="0">
                  <c:v>MTR rate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Analysis!$G$63:$W$63</c:f>
              <c:strCache>
                <c:ptCount val="17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5">
                  <c:v>Q1 09</c:v>
                </c:pt>
                <c:pt idx="6">
                  <c:v>Q2 09</c:v>
                </c:pt>
                <c:pt idx="7">
                  <c:v>Q3 09</c:v>
                </c:pt>
                <c:pt idx="8">
                  <c:v>Q4 09</c:v>
                </c:pt>
                <c:pt idx="9">
                  <c:v>Q1 10</c:v>
                </c:pt>
                <c:pt idx="10">
                  <c:v>Q2 10</c:v>
                </c:pt>
                <c:pt idx="11">
                  <c:v>Q3 10</c:v>
                </c:pt>
                <c:pt idx="12">
                  <c:v>Q4 10</c:v>
                </c:pt>
                <c:pt idx="13">
                  <c:v>Q1 11</c:v>
                </c:pt>
                <c:pt idx="14">
                  <c:v>Q2 11</c:v>
                </c:pt>
                <c:pt idx="15">
                  <c:v>Q3 11</c:v>
                </c:pt>
                <c:pt idx="16">
                  <c:v>Q4 11</c:v>
                </c:pt>
              </c:strCache>
            </c:strRef>
          </c:cat>
          <c:val>
            <c:numRef>
              <c:f>Analysis!$G$66:$W$66</c:f>
              <c:numCache>
                <c:formatCode>0</c:formatCode>
                <c:ptCount val="17"/>
                <c:pt idx="0">
                  <c:v>118.18181818181817</c:v>
                </c:pt>
                <c:pt idx="1">
                  <c:v>118.18181818181817</c:v>
                </c:pt>
                <c:pt idx="2">
                  <c:v>118.18181818181817</c:v>
                </c:pt>
                <c:pt idx="3">
                  <c:v>118.18181818181817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7-44D7-AECB-B87482CDC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16864"/>
        <c:axId val="132522752"/>
      </c:lineChart>
      <c:catAx>
        <c:axId val="132516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522752"/>
        <c:crosses val="autoZero"/>
        <c:auto val="1"/>
        <c:lblAlgn val="ctr"/>
        <c:lblOffset val="100"/>
        <c:noMultiLvlLbl val="0"/>
      </c:catAx>
      <c:valAx>
        <c:axId val="1325227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32516864"/>
        <c:crosses val="autoZero"/>
        <c:crossBetween val="between"/>
      </c:valAx>
      <c:valAx>
        <c:axId val="1325242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32538368"/>
        <c:crosses val="max"/>
        <c:crossBetween val="between"/>
      </c:valAx>
      <c:catAx>
        <c:axId val="13253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25242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Analysis!$B$69</c:f>
              <c:strCache>
                <c:ptCount val="1"/>
                <c:pt idx="0">
                  <c:v>MOU y/y growth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  <a:effectLst/>
          </c:spPr>
          <c:invertIfNegative val="0"/>
          <c:cat>
            <c:strRef>
              <c:f>Analysis!$G$63:$W$63</c:f>
              <c:strCache>
                <c:ptCount val="17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5">
                  <c:v>Q1 09</c:v>
                </c:pt>
                <c:pt idx="6">
                  <c:v>Q2 09</c:v>
                </c:pt>
                <c:pt idx="7">
                  <c:v>Q3 09</c:v>
                </c:pt>
                <c:pt idx="8">
                  <c:v>Q4 09</c:v>
                </c:pt>
                <c:pt idx="9">
                  <c:v>Q1 10</c:v>
                </c:pt>
                <c:pt idx="10">
                  <c:v>Q2 10</c:v>
                </c:pt>
                <c:pt idx="11">
                  <c:v>Q3 10</c:v>
                </c:pt>
                <c:pt idx="12">
                  <c:v>Q4 10</c:v>
                </c:pt>
                <c:pt idx="13">
                  <c:v>Q1 11</c:v>
                </c:pt>
                <c:pt idx="14">
                  <c:v>Q2 11</c:v>
                </c:pt>
                <c:pt idx="15">
                  <c:v>Q3 11</c:v>
                </c:pt>
                <c:pt idx="16">
                  <c:v>Q4 11</c:v>
                </c:pt>
              </c:strCache>
            </c:strRef>
          </c:cat>
          <c:val>
            <c:numRef>
              <c:f>Analysis!$G$69:$W$69</c:f>
              <c:numCache>
                <c:formatCode>0%</c:formatCode>
                <c:ptCount val="17"/>
                <c:pt idx="0">
                  <c:v>0.16911764705882359</c:v>
                </c:pt>
                <c:pt idx="1">
                  <c:v>0.16176470588235303</c:v>
                </c:pt>
                <c:pt idx="2">
                  <c:v>0.15972222222222232</c:v>
                </c:pt>
                <c:pt idx="3">
                  <c:v>9.4339622641509413E-2</c:v>
                </c:pt>
                <c:pt idx="5">
                  <c:v>6.9182389937106903E-2</c:v>
                </c:pt>
                <c:pt idx="6">
                  <c:v>8.2278481012658222E-2</c:v>
                </c:pt>
                <c:pt idx="7">
                  <c:v>6.5868263473053856E-2</c:v>
                </c:pt>
                <c:pt idx="8">
                  <c:v>8.6206896551724199E-2</c:v>
                </c:pt>
                <c:pt idx="9">
                  <c:v>0.12941176470588234</c:v>
                </c:pt>
                <c:pt idx="10">
                  <c:v>9.3567251461988299E-2</c:v>
                </c:pt>
                <c:pt idx="11">
                  <c:v>0.1179775280898876</c:v>
                </c:pt>
                <c:pt idx="12">
                  <c:v>7.4074074074074181E-2</c:v>
                </c:pt>
                <c:pt idx="13">
                  <c:v>1.0416666666666741E-2</c:v>
                </c:pt>
                <c:pt idx="14">
                  <c:v>2.673796791443861E-2</c:v>
                </c:pt>
                <c:pt idx="15">
                  <c:v>-3.5175879396984966E-2</c:v>
                </c:pt>
                <c:pt idx="16">
                  <c:v>-1.9704433497536922E-2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8-4334-8315-72E06F1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66016"/>
        <c:axId val="132564480"/>
      </c:barChart>
      <c:lineChart>
        <c:grouping val="standard"/>
        <c:varyColors val="0"/>
        <c:ser>
          <c:idx val="1"/>
          <c:order val="1"/>
          <c:tx>
            <c:strRef>
              <c:f>Analysis!$B$66</c:f>
              <c:strCache>
                <c:ptCount val="1"/>
                <c:pt idx="0">
                  <c:v>MTR rate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Analysis!$G$63:$W$63</c:f>
              <c:strCache>
                <c:ptCount val="17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5">
                  <c:v>Q1 09</c:v>
                </c:pt>
                <c:pt idx="6">
                  <c:v>Q2 09</c:v>
                </c:pt>
                <c:pt idx="7">
                  <c:v>Q3 09</c:v>
                </c:pt>
                <c:pt idx="8">
                  <c:v>Q4 09</c:v>
                </c:pt>
                <c:pt idx="9">
                  <c:v>Q1 10</c:v>
                </c:pt>
                <c:pt idx="10">
                  <c:v>Q2 10</c:v>
                </c:pt>
                <c:pt idx="11">
                  <c:v>Q3 10</c:v>
                </c:pt>
                <c:pt idx="12">
                  <c:v>Q4 10</c:v>
                </c:pt>
                <c:pt idx="13">
                  <c:v>Q1 11</c:v>
                </c:pt>
                <c:pt idx="14">
                  <c:v>Q2 11</c:v>
                </c:pt>
                <c:pt idx="15">
                  <c:v>Q3 11</c:v>
                </c:pt>
                <c:pt idx="16">
                  <c:v>Q4 11</c:v>
                </c:pt>
              </c:strCache>
            </c:strRef>
          </c:cat>
          <c:val>
            <c:numRef>
              <c:f>Analysis!$G$66:$W$66</c:f>
              <c:numCache>
                <c:formatCode>0</c:formatCode>
                <c:ptCount val="17"/>
                <c:pt idx="0">
                  <c:v>118.18181818181817</c:v>
                </c:pt>
                <c:pt idx="1">
                  <c:v>118.18181818181817</c:v>
                </c:pt>
                <c:pt idx="2">
                  <c:v>118.18181818181817</c:v>
                </c:pt>
                <c:pt idx="3">
                  <c:v>118.18181818181817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8-4334-8315-72E06F1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57056"/>
        <c:axId val="132562944"/>
      </c:lineChart>
      <c:catAx>
        <c:axId val="132557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562944"/>
        <c:crosses val="autoZero"/>
        <c:auto val="1"/>
        <c:lblAlgn val="ctr"/>
        <c:lblOffset val="100"/>
        <c:noMultiLvlLbl val="0"/>
      </c:catAx>
      <c:valAx>
        <c:axId val="1325629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32557056"/>
        <c:crosses val="autoZero"/>
        <c:crossBetween val="between"/>
      </c:valAx>
      <c:valAx>
        <c:axId val="1325644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132566016"/>
        <c:crosses val="max"/>
        <c:crossBetween val="between"/>
      </c:valAx>
      <c:catAx>
        <c:axId val="132566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25644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62820891562058E-2"/>
          <c:y val="1.6332518554139971E-2"/>
          <c:w val="0.88345380485795888"/>
          <c:h val="0.81360153086890341"/>
        </c:manualLayout>
      </c:layout>
      <c:lineChart>
        <c:grouping val="standard"/>
        <c:varyColors val="0"/>
        <c:ser>
          <c:idx val="0"/>
          <c:order val="0"/>
          <c:tx>
            <c:strRef>
              <c:f>Analysis!$B$24</c:f>
              <c:strCache>
                <c:ptCount val="1"/>
                <c:pt idx="0">
                  <c:v>Entel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Analysis!$C$23:$N$23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Analysis!$C$24:$N$24</c:f>
              <c:numCache>
                <c:formatCode>0.0%</c:formatCode>
                <c:ptCount val="12"/>
                <c:pt idx="0">
                  <c:v>0.44238876081251843</c:v>
                </c:pt>
                <c:pt idx="1">
                  <c:v>0.44918820651174923</c:v>
                </c:pt>
                <c:pt idx="2">
                  <c:v>0.44517233487065005</c:v>
                </c:pt>
                <c:pt idx="3">
                  <c:v>0.4466141433115563</c:v>
                </c:pt>
                <c:pt idx="4">
                  <c:v>0.46165762046658515</c:v>
                </c:pt>
                <c:pt idx="5">
                  <c:v>0.46006215673184181</c:v>
                </c:pt>
                <c:pt idx="6">
                  <c:v>0.40782681848988828</c:v>
                </c:pt>
                <c:pt idx="7">
                  <c:v>0.38359948592417203</c:v>
                </c:pt>
                <c:pt idx="9">
                  <c:v>0.35014476082482426</c:v>
                </c:pt>
                <c:pt idx="10">
                  <c:v>0.3288029646009949</c:v>
                </c:pt>
                <c:pt idx="11">
                  <c:v>0.30456065062556248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A-4F00-92FD-B2609F19F2A6}"/>
            </c:ext>
          </c:extLst>
        </c:ser>
        <c:ser>
          <c:idx val="1"/>
          <c:order val="1"/>
          <c:tx>
            <c:strRef>
              <c:f>Analysis!$B$25</c:f>
              <c:strCache>
                <c:ptCount val="1"/>
                <c:pt idx="0">
                  <c:v>TEF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Analysis!$C$23:$N$23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Analysis!$C$25:$N$25</c:f>
              <c:numCache>
                <c:formatCode>0.0%</c:formatCode>
                <c:ptCount val="12"/>
                <c:pt idx="0">
                  <c:v>0.41693520049613464</c:v>
                </c:pt>
                <c:pt idx="1">
                  <c:v>0.43136584467379474</c:v>
                </c:pt>
                <c:pt idx="2">
                  <c:v>0.42115394521817512</c:v>
                </c:pt>
                <c:pt idx="3">
                  <c:v>0.40929745464305628</c:v>
                </c:pt>
                <c:pt idx="4">
                  <c:v>0.38144504796233697</c:v>
                </c:pt>
                <c:pt idx="5">
                  <c:v>0.36266483007859307</c:v>
                </c:pt>
                <c:pt idx="6">
                  <c:v>0.37486345206201299</c:v>
                </c:pt>
                <c:pt idx="7">
                  <c:v>0.37086962820644043</c:v>
                </c:pt>
                <c:pt idx="9">
                  <c:v>0.37832534801931239</c:v>
                </c:pt>
                <c:pt idx="10">
                  <c:v>0.38480162721339894</c:v>
                </c:pt>
                <c:pt idx="11">
                  <c:v>0.39291021664589415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A-4F00-92FD-B2609F19F2A6}"/>
            </c:ext>
          </c:extLst>
        </c:ser>
        <c:ser>
          <c:idx val="2"/>
          <c:order val="2"/>
          <c:tx>
            <c:strRef>
              <c:f>Analysis!$B$26</c:f>
              <c:strCache>
                <c:ptCount val="1"/>
                <c:pt idx="0">
                  <c:v>AMX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Analysis!$C$23:$N$23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Analysis!$C$26:$N$26</c:f>
              <c:numCache>
                <c:formatCode>0.0%</c:formatCode>
                <c:ptCount val="12"/>
                <c:pt idx="0">
                  <c:v>0.13864076801234024</c:v>
                </c:pt>
                <c:pt idx="1">
                  <c:v>0.11517499985728967</c:v>
                </c:pt>
                <c:pt idx="2">
                  <c:v>0.12786301150296744</c:v>
                </c:pt>
                <c:pt idx="3">
                  <c:v>0.13810156832484016</c:v>
                </c:pt>
                <c:pt idx="4">
                  <c:v>0.13881916748133546</c:v>
                </c:pt>
                <c:pt idx="5">
                  <c:v>0.14220269138233421</c:v>
                </c:pt>
                <c:pt idx="6">
                  <c:v>0.15697295903792177</c:v>
                </c:pt>
                <c:pt idx="7">
                  <c:v>0.16471075351576342</c:v>
                </c:pt>
                <c:pt idx="9">
                  <c:v>0.1753681504771854</c:v>
                </c:pt>
                <c:pt idx="10">
                  <c:v>0.18357709535567693</c:v>
                </c:pt>
                <c:pt idx="11">
                  <c:v>0.19229314848972751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0A-4F00-92FD-B2609F19F2A6}"/>
            </c:ext>
          </c:extLst>
        </c:ser>
        <c:ser>
          <c:idx val="3"/>
          <c:order val="3"/>
          <c:tx>
            <c:strRef>
              <c:f>Analysis!$B$27</c:f>
              <c:strCache>
                <c:ptCount val="1"/>
                <c:pt idx="0">
                  <c:v>Nextel</c:v>
                </c:pt>
              </c:strCache>
            </c:strRef>
          </c:tx>
          <c:spPr>
            <a:ln w="25400">
              <a:solidFill>
                <a:srgbClr val="CCCCFF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Analysis!$C$23:$N$23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Analysis!$C$27:$N$27</c:f>
              <c:numCache>
                <c:formatCode>0.0%</c:formatCode>
                <c:ptCount val="12"/>
                <c:pt idx="0">
                  <c:v>2.0352706790066491E-3</c:v>
                </c:pt>
                <c:pt idx="1">
                  <c:v>4.2709489571664079E-3</c:v>
                </c:pt>
                <c:pt idx="2">
                  <c:v>5.8107084082074439E-3</c:v>
                </c:pt>
                <c:pt idx="3">
                  <c:v>5.9868337205473514E-3</c:v>
                </c:pt>
                <c:pt idx="4">
                  <c:v>1.0043424494301284E-2</c:v>
                </c:pt>
                <c:pt idx="5">
                  <c:v>2.0040183889846221E-2</c:v>
                </c:pt>
                <c:pt idx="6">
                  <c:v>3.4478154520101084E-2</c:v>
                </c:pt>
                <c:pt idx="7">
                  <c:v>4.6182932773499497E-2</c:v>
                </c:pt>
                <c:pt idx="9">
                  <c:v>5.4949566102101707E-2</c:v>
                </c:pt>
                <c:pt idx="10">
                  <c:v>5.8753321617102387E-2</c:v>
                </c:pt>
                <c:pt idx="11">
                  <c:v>6.2991990993609068E-2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0A-4F00-92FD-B2609F19F2A6}"/>
            </c:ext>
          </c:extLst>
        </c:ser>
        <c:ser>
          <c:idx val="4"/>
          <c:order val="4"/>
          <c:tx>
            <c:strRef>
              <c:f>Analysis!$B$28</c:f>
              <c:strCache>
                <c:ptCount val="1"/>
                <c:pt idx="0">
                  <c:v>VTR</c:v>
                </c:pt>
              </c:strCache>
            </c:strRef>
          </c:tx>
          <c:marker>
            <c:symbol val="none"/>
          </c:marker>
          <c:cat>
            <c:numRef>
              <c:f>Analysis!$C$23:$N$23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Analysis!$C$28:$N$28</c:f>
              <c:numCache>
                <c:formatCode>0.0%</c:formatCode>
                <c:ptCount val="12"/>
                <c:pt idx="4">
                  <c:v>8.0347395954410289E-3</c:v>
                </c:pt>
                <c:pt idx="5">
                  <c:v>1.5030137917384664E-2</c:v>
                </c:pt>
                <c:pt idx="6">
                  <c:v>2.585861589007581E-2</c:v>
                </c:pt>
                <c:pt idx="7">
                  <c:v>3.4637199580124622E-2</c:v>
                </c:pt>
                <c:pt idx="9">
                  <c:v>4.1212174576576284E-2</c:v>
                </c:pt>
                <c:pt idx="10">
                  <c:v>4.4064991212826796E-2</c:v>
                </c:pt>
                <c:pt idx="11">
                  <c:v>4.7243993245206797E-2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0A-4F00-92FD-B2609F19F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61952"/>
        <c:axId val="132863488"/>
      </c:lineChart>
      <c:catAx>
        <c:axId val="1328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863488"/>
        <c:crosses val="autoZero"/>
        <c:auto val="1"/>
        <c:lblAlgn val="ctr"/>
        <c:lblOffset val="100"/>
        <c:noMultiLvlLbl val="0"/>
      </c:catAx>
      <c:valAx>
        <c:axId val="1328634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crossAx val="132861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333399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'New Ints'!$AR$2:$AZ$2</c:f>
              <c:strCache>
                <c:ptCount val="1"/>
                <c:pt idx="0">
                  <c:v>Q1 22</c:v>
                </c:pt>
              </c:strCache>
            </c:strRef>
          </c:cat>
          <c:val>
            <c:numRef>
              <c:f>'New Ints'!$AR$19:$AZ$19</c:f>
              <c:numCache>
                <c:formatCode>0.0%</c:formatCode>
                <c:ptCount val="1"/>
                <c:pt idx="0">
                  <c:v>3.219100410446063E-2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F-4C56-877B-69C3EF819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341704"/>
        <c:axId val="440338096"/>
      </c:lineChart>
      <c:catAx>
        <c:axId val="440341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440338096"/>
        <c:crosses val="autoZero"/>
        <c:auto val="1"/>
        <c:lblAlgn val="ctr"/>
        <c:lblOffset val="100"/>
        <c:noMultiLvlLbl val="0"/>
      </c:catAx>
      <c:valAx>
        <c:axId val="440338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4403417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Analysis!$B$18</c:f>
              <c:strCache>
                <c:ptCount val="1"/>
                <c:pt idx="0">
                  <c:v>Market service revenue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Analysis!$E$4:$M$4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Analysis!$E$18:$M$18</c:f>
              <c:numCache>
                <c:formatCode>0.0%</c:formatCode>
                <c:ptCount val="9"/>
                <c:pt idx="0">
                  <c:v>0.10228443844178936</c:v>
                </c:pt>
                <c:pt idx="1">
                  <c:v>-4.1014361091668561E-2</c:v>
                </c:pt>
                <c:pt idx="2">
                  <c:v>0.14425174085734671</c:v>
                </c:pt>
                <c:pt idx="3">
                  <c:v>0.14705366276343979</c:v>
                </c:pt>
                <c:pt idx="4">
                  <c:v>0.14352359023311467</c:v>
                </c:pt>
                <c:pt idx="5">
                  <c:v>0.11678255502047419</c:v>
                </c:pt>
                <c:pt idx="7">
                  <c:v>2.0578133453847514E-2</c:v>
                </c:pt>
                <c:pt idx="8">
                  <c:v>6.286773205919749E-2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D-41EE-96CA-9C1E198FFE78}"/>
            </c:ext>
          </c:extLst>
        </c:ser>
        <c:ser>
          <c:idx val="1"/>
          <c:order val="1"/>
          <c:tx>
            <c:strRef>
              <c:f>Analysis!$B$19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5400">
              <a:solidFill>
                <a:srgbClr val="9999FF"/>
              </a:solidFill>
              <a:prstDash val="dash"/>
            </a:ln>
            <a:effectLst/>
          </c:spPr>
          <c:marker>
            <c:symbol val="none"/>
          </c:marker>
          <c:cat>
            <c:numRef>
              <c:f>Analysis!$E$4:$M$4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Analysis!$E$19:$M$19</c:f>
              <c:numCache>
                <c:formatCode>0.0%</c:formatCode>
                <c:ptCount val="9"/>
                <c:pt idx="0">
                  <c:v>3.6999999999999998E-2</c:v>
                </c:pt>
                <c:pt idx="1">
                  <c:v>-1.6E-2</c:v>
                </c:pt>
                <c:pt idx="2">
                  <c:v>5.1999999999999998E-2</c:v>
                </c:pt>
                <c:pt idx="3">
                  <c:v>6.6000000000000003E-2</c:v>
                </c:pt>
                <c:pt idx="4">
                  <c:v>0.04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D-41EE-96CA-9C1E198FFE78}"/>
            </c:ext>
          </c:extLst>
        </c:ser>
        <c:ser>
          <c:idx val="2"/>
          <c:order val="2"/>
          <c:tx>
            <c:strRef>
              <c:f>Analysis!$B$20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25400">
              <a:solidFill>
                <a:srgbClr val="3366FF"/>
              </a:solidFill>
              <a:prstDash val="dash"/>
            </a:ln>
            <a:effectLst/>
          </c:spPr>
          <c:marker>
            <c:symbol val="none"/>
          </c:marker>
          <c:cat>
            <c:numRef>
              <c:f>Analysis!$E$4:$M$4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Analysis!$E$20:$M$20</c:f>
              <c:numCache>
                <c:formatCode>0.0%</c:formatCode>
                <c:ptCount val="9"/>
                <c:pt idx="0">
                  <c:v>0.04</c:v>
                </c:pt>
                <c:pt idx="1">
                  <c:v>1.2E-2</c:v>
                </c:pt>
                <c:pt idx="2">
                  <c:v>0.13339999999999999</c:v>
                </c:pt>
                <c:pt idx="3">
                  <c:v>8.4000000000000005E-2</c:v>
                </c:pt>
                <c:pt idx="4">
                  <c:v>7.0000000000000007E-2</c:v>
                </c:pt>
                <c:pt idx="5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D-41EE-96CA-9C1E198F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90624"/>
        <c:axId val="132892160"/>
      </c:lineChart>
      <c:catAx>
        <c:axId val="1328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892160"/>
        <c:crosses val="autoZero"/>
        <c:auto val="1"/>
        <c:lblAlgn val="ctr"/>
        <c:lblOffset val="100"/>
        <c:noMultiLvlLbl val="0"/>
      </c:catAx>
      <c:valAx>
        <c:axId val="132892160"/>
        <c:scaling>
          <c:orientation val="minMax"/>
          <c:min val="-5.0000000000000017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crossAx val="132890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Analysis!$E$124:$T$124</c:f>
              <c:strCache>
                <c:ptCount val="16"/>
                <c:pt idx="0">
                  <c:v>Q2 08</c:v>
                </c:pt>
                <c:pt idx="1">
                  <c:v>Q3 08</c:v>
                </c:pt>
                <c:pt idx="2">
                  <c:v>Q4 08</c:v>
                </c:pt>
                <c:pt idx="3">
                  <c:v>Q1 09</c:v>
                </c:pt>
                <c:pt idx="4">
                  <c:v>Q2 09</c:v>
                </c:pt>
                <c:pt idx="5">
                  <c:v>Q3 09</c:v>
                </c:pt>
                <c:pt idx="7">
                  <c:v>Q4 09</c:v>
                </c:pt>
                <c:pt idx="8">
                  <c:v>Q1 10</c:v>
                </c:pt>
                <c:pt idx="9">
                  <c:v>Q2 10</c:v>
                </c:pt>
                <c:pt idx="10">
                  <c:v>Q3 10</c:v>
                </c:pt>
                <c:pt idx="11">
                  <c:v>Q4 10</c:v>
                </c:pt>
                <c:pt idx="12">
                  <c:v>Q1 11</c:v>
                </c:pt>
                <c:pt idx="13">
                  <c:v>Q2 11</c:v>
                </c:pt>
                <c:pt idx="14">
                  <c:v>Q3 11</c:v>
                </c:pt>
                <c:pt idx="15">
                  <c:v>Q4 11</c:v>
                </c:pt>
              </c:strCache>
            </c:strRef>
          </c:cat>
          <c:val>
            <c:numRef>
              <c:f>Analysis!$E$125:$T$125</c:f>
              <c:numCache>
                <c:formatCode>0</c:formatCode>
                <c:ptCount val="16"/>
                <c:pt idx="0">
                  <c:v>0</c:v>
                </c:pt>
                <c:pt idx="1">
                  <c:v>10607.727233787373</c:v>
                </c:pt>
                <c:pt idx="2">
                  <c:v>11932.332095848802</c:v>
                </c:pt>
                <c:pt idx="3">
                  <c:v>10506.197654941372</c:v>
                </c:pt>
                <c:pt idx="4">
                  <c:v>9836.1363381545016</c:v>
                </c:pt>
                <c:pt idx="5">
                  <c:v>9977.6471562215411</c:v>
                </c:pt>
                <c:pt idx="7">
                  <c:v>10404.090174574161</c:v>
                </c:pt>
                <c:pt idx="8">
                  <c:v>9807.5459166730525</c:v>
                </c:pt>
                <c:pt idx="9">
                  <c:v>10283.243620414672</c:v>
                </c:pt>
                <c:pt idx="10">
                  <c:v>9987.5770369291986</c:v>
                </c:pt>
                <c:pt idx="11">
                  <c:v>10831.841344167471</c:v>
                </c:pt>
                <c:pt idx="12">
                  <c:v>9903.2837630149133</c:v>
                </c:pt>
                <c:pt idx="13">
                  <c:v>9748.5144004803624</c:v>
                </c:pt>
                <c:pt idx="14">
                  <c:v>9495.7929955851196</c:v>
                </c:pt>
                <c:pt idx="15">
                  <c:v>9866.4939161784569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DE-4AC1-83A9-AD50E0BAD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74496"/>
        <c:axId val="146476032"/>
      </c:barChart>
      <c:catAx>
        <c:axId val="146474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6476032"/>
        <c:crosses val="autoZero"/>
        <c:auto val="1"/>
        <c:lblAlgn val="ctr"/>
        <c:lblOffset val="100"/>
        <c:noMultiLvlLbl val="0"/>
      </c:catAx>
      <c:valAx>
        <c:axId val="1464760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46474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3.0555555555555558E-2"/>
          <c:y val="5.0925925925925923E-2"/>
          <c:w val="0.93888888888888899"/>
          <c:h val="0.8981481481481481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Analysis!$E$124:$T$124</c:f>
              <c:strCache>
                <c:ptCount val="16"/>
                <c:pt idx="0">
                  <c:v>Q2 08</c:v>
                </c:pt>
                <c:pt idx="1">
                  <c:v>Q3 08</c:v>
                </c:pt>
                <c:pt idx="2">
                  <c:v>Q4 08</c:v>
                </c:pt>
                <c:pt idx="3">
                  <c:v>Q1 09</c:v>
                </c:pt>
                <c:pt idx="4">
                  <c:v>Q2 09</c:v>
                </c:pt>
                <c:pt idx="5">
                  <c:v>Q3 09</c:v>
                </c:pt>
                <c:pt idx="7">
                  <c:v>Q4 09</c:v>
                </c:pt>
                <c:pt idx="8">
                  <c:v>Q1 10</c:v>
                </c:pt>
                <c:pt idx="9">
                  <c:v>Q2 10</c:v>
                </c:pt>
                <c:pt idx="10">
                  <c:v>Q3 10</c:v>
                </c:pt>
                <c:pt idx="11">
                  <c:v>Q4 10</c:v>
                </c:pt>
                <c:pt idx="12">
                  <c:v>Q1 11</c:v>
                </c:pt>
                <c:pt idx="13">
                  <c:v>Q2 11</c:v>
                </c:pt>
                <c:pt idx="14">
                  <c:v>Q3 11</c:v>
                </c:pt>
                <c:pt idx="15">
                  <c:v>Q4 11</c:v>
                </c:pt>
              </c:strCache>
            </c:strRef>
          </c:cat>
          <c:val>
            <c:numRef>
              <c:f>Analysis!$E$125:$T$125</c:f>
              <c:numCache>
                <c:formatCode>0</c:formatCode>
                <c:ptCount val="16"/>
                <c:pt idx="0">
                  <c:v>0</c:v>
                </c:pt>
                <c:pt idx="1">
                  <c:v>10607.727233787373</c:v>
                </c:pt>
                <c:pt idx="2">
                  <c:v>11932.332095848802</c:v>
                </c:pt>
                <c:pt idx="3">
                  <c:v>10506.197654941372</c:v>
                </c:pt>
                <c:pt idx="4">
                  <c:v>9836.1363381545016</c:v>
                </c:pt>
                <c:pt idx="5">
                  <c:v>9977.6471562215411</c:v>
                </c:pt>
                <c:pt idx="7">
                  <c:v>10404.090174574161</c:v>
                </c:pt>
                <c:pt idx="8">
                  <c:v>9807.5459166730525</c:v>
                </c:pt>
                <c:pt idx="9">
                  <c:v>10283.243620414672</c:v>
                </c:pt>
                <c:pt idx="10">
                  <c:v>9987.5770369291986</c:v>
                </c:pt>
                <c:pt idx="11">
                  <c:v>10831.841344167471</c:v>
                </c:pt>
                <c:pt idx="12">
                  <c:v>9903.2837630149133</c:v>
                </c:pt>
                <c:pt idx="13">
                  <c:v>9748.5144004803624</c:v>
                </c:pt>
                <c:pt idx="14">
                  <c:v>9495.7929955851196</c:v>
                </c:pt>
                <c:pt idx="15">
                  <c:v>9866.4939161784569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E-4FFF-AE46-E6AA1616F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88320"/>
        <c:axId val="146506496"/>
      </c:lineChart>
      <c:catAx>
        <c:axId val="14648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6506496"/>
        <c:crosses val="autoZero"/>
        <c:auto val="1"/>
        <c:lblAlgn val="ctr"/>
        <c:lblOffset val="100"/>
        <c:noMultiLvlLbl val="0"/>
      </c:catAx>
      <c:valAx>
        <c:axId val="146506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46488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3.0555555555555558E-2"/>
          <c:y val="5.0925925925925923E-2"/>
          <c:w val="0.93888888888888899"/>
          <c:h val="0.8981481481481481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Analysis!$E$124:$T$124</c:f>
              <c:strCache>
                <c:ptCount val="16"/>
                <c:pt idx="0">
                  <c:v>Q2 08</c:v>
                </c:pt>
                <c:pt idx="1">
                  <c:v>Q3 08</c:v>
                </c:pt>
                <c:pt idx="2">
                  <c:v>Q4 08</c:v>
                </c:pt>
                <c:pt idx="3">
                  <c:v>Q1 09</c:v>
                </c:pt>
                <c:pt idx="4">
                  <c:v>Q2 09</c:v>
                </c:pt>
                <c:pt idx="5">
                  <c:v>Q3 09</c:v>
                </c:pt>
                <c:pt idx="7">
                  <c:v>Q4 09</c:v>
                </c:pt>
                <c:pt idx="8">
                  <c:v>Q1 10</c:v>
                </c:pt>
                <c:pt idx="9">
                  <c:v>Q2 10</c:v>
                </c:pt>
                <c:pt idx="10">
                  <c:v>Q3 10</c:v>
                </c:pt>
                <c:pt idx="11">
                  <c:v>Q4 10</c:v>
                </c:pt>
                <c:pt idx="12">
                  <c:v>Q1 11</c:v>
                </c:pt>
                <c:pt idx="13">
                  <c:v>Q2 11</c:v>
                </c:pt>
                <c:pt idx="14">
                  <c:v>Q3 11</c:v>
                </c:pt>
                <c:pt idx="15">
                  <c:v>Q4 11</c:v>
                </c:pt>
              </c:strCache>
            </c:strRef>
          </c:cat>
          <c:val>
            <c:numRef>
              <c:f>Analysis!$E$128:$T$128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-0.18915718426128747</c:v>
                </c:pt>
                <c:pt idx="7">
                  <c:v>-0.26549748350773517</c:v>
                </c:pt>
                <c:pt idx="8">
                  <c:v>-0.21886226485610838</c:v>
                </c:pt>
                <c:pt idx="9">
                  <c:v>-8.5938899224094256E-2</c:v>
                </c:pt>
                <c:pt idx="10">
                  <c:v>-0.13679483897411759</c:v>
                </c:pt>
                <c:pt idx="11">
                  <c:v>-7.2699374024737362E-2</c:v>
                </c:pt>
                <c:pt idx="12">
                  <c:v>-5.7641453242966878E-2</c:v>
                </c:pt>
                <c:pt idx="13">
                  <c:v>-0.12489574440051965</c:v>
                </c:pt>
                <c:pt idx="14">
                  <c:v>-5.8312008302681018E-2</c:v>
                </c:pt>
                <c:pt idx="15">
                  <c:v>-9.1841752432463397E-2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9-4BCA-B570-30AFF92CC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518784"/>
        <c:axId val="146520320"/>
      </c:lineChart>
      <c:catAx>
        <c:axId val="14651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6520320"/>
        <c:crosses val="autoZero"/>
        <c:auto val="1"/>
        <c:lblAlgn val="ctr"/>
        <c:lblOffset val="100"/>
        <c:noMultiLvlLbl val="0"/>
      </c:catAx>
      <c:valAx>
        <c:axId val="1465203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y/y growth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6518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74618223139707"/>
          <c:y val="6.7464275616312935E-2"/>
          <c:w val="0.82569823514056651"/>
          <c:h val="0.78575888509404579"/>
        </c:manualLayout>
      </c:layout>
      <c:lineChart>
        <c:grouping val="standard"/>
        <c:varyColors val="0"/>
        <c:ser>
          <c:idx val="1"/>
          <c:order val="1"/>
          <c:spPr>
            <a:ln w="25400">
              <a:solidFill>
                <a:srgbClr val="000080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Analysis!$E$124:$T$124</c:f>
              <c:strCache>
                <c:ptCount val="16"/>
                <c:pt idx="0">
                  <c:v>Q2 08</c:v>
                </c:pt>
                <c:pt idx="1">
                  <c:v>Q3 08</c:v>
                </c:pt>
                <c:pt idx="2">
                  <c:v>Q4 08</c:v>
                </c:pt>
                <c:pt idx="3">
                  <c:v>Q1 09</c:v>
                </c:pt>
                <c:pt idx="4">
                  <c:v>Q2 09</c:v>
                </c:pt>
                <c:pt idx="5">
                  <c:v>Q3 09</c:v>
                </c:pt>
                <c:pt idx="7">
                  <c:v>Q4 09</c:v>
                </c:pt>
                <c:pt idx="8">
                  <c:v>Q1 10</c:v>
                </c:pt>
                <c:pt idx="9">
                  <c:v>Q2 10</c:v>
                </c:pt>
                <c:pt idx="10">
                  <c:v>Q3 10</c:v>
                </c:pt>
                <c:pt idx="11">
                  <c:v>Q4 10</c:v>
                </c:pt>
                <c:pt idx="12">
                  <c:v>Q1 11</c:v>
                </c:pt>
                <c:pt idx="13">
                  <c:v>Q2 11</c:v>
                </c:pt>
                <c:pt idx="14">
                  <c:v>Q3 11</c:v>
                </c:pt>
                <c:pt idx="15">
                  <c:v>Q4 11</c:v>
                </c:pt>
              </c:strCache>
            </c:strRef>
          </c:cat>
          <c:val>
            <c:numRef>
              <c:f>Analysis!$E$130:$T$130</c:f>
              <c:numCache>
                <c:formatCode>0%</c:formatCode>
                <c:ptCount val="16"/>
                <c:pt idx="0">
                  <c:v>9.5810399748259625E-2</c:v>
                </c:pt>
                <c:pt idx="1">
                  <c:v>0.10603578990641289</c:v>
                </c:pt>
                <c:pt idx="2">
                  <c:v>0.10935674114884375</c:v>
                </c:pt>
                <c:pt idx="3">
                  <c:v>0.12300560039253507</c:v>
                </c:pt>
                <c:pt idx="4">
                  <c:v>0.14687129217906211</c:v>
                </c:pt>
                <c:pt idx="5">
                  <c:v>0.15180856463067413</c:v>
                </c:pt>
                <c:pt idx="7">
                  <c:v>0.16091732456770733</c:v>
                </c:pt>
                <c:pt idx="8">
                  <c:v>0.16742356846712669</c:v>
                </c:pt>
                <c:pt idx="9">
                  <c:v>0.1831297741962562</c:v>
                </c:pt>
                <c:pt idx="10">
                  <c:v>0.19887375597426615</c:v>
                </c:pt>
                <c:pt idx="11">
                  <c:v>0.20649037313408611</c:v>
                </c:pt>
                <c:pt idx="12">
                  <c:v>0.2157660007248062</c:v>
                </c:pt>
                <c:pt idx="13">
                  <c:v>0.23377785847504462</c:v>
                </c:pt>
                <c:pt idx="14">
                  <c:v>0.23977615436901534</c:v>
                </c:pt>
                <c:pt idx="15">
                  <c:v>0.23146336913799737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F-4DFB-98D4-08C2F670EACE}"/>
            </c:ext>
          </c:extLst>
        </c:ser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Analysis!$E$124:$T$124</c:f>
              <c:strCache>
                <c:ptCount val="16"/>
                <c:pt idx="0">
                  <c:v>Q2 08</c:v>
                </c:pt>
                <c:pt idx="1">
                  <c:v>Q3 08</c:v>
                </c:pt>
                <c:pt idx="2">
                  <c:v>Q4 08</c:v>
                </c:pt>
                <c:pt idx="3">
                  <c:v>Q1 09</c:v>
                </c:pt>
                <c:pt idx="4">
                  <c:v>Q2 09</c:v>
                </c:pt>
                <c:pt idx="5">
                  <c:v>Q3 09</c:v>
                </c:pt>
                <c:pt idx="7">
                  <c:v>Q4 09</c:v>
                </c:pt>
                <c:pt idx="8">
                  <c:v>Q1 10</c:v>
                </c:pt>
                <c:pt idx="9">
                  <c:v>Q2 10</c:v>
                </c:pt>
                <c:pt idx="10">
                  <c:v>Q3 10</c:v>
                </c:pt>
                <c:pt idx="11">
                  <c:v>Q4 10</c:v>
                </c:pt>
                <c:pt idx="12">
                  <c:v>Q1 11</c:v>
                </c:pt>
                <c:pt idx="13">
                  <c:v>Q2 11</c:v>
                </c:pt>
                <c:pt idx="14">
                  <c:v>Q3 11</c:v>
                </c:pt>
                <c:pt idx="15">
                  <c:v>Q4 11</c:v>
                </c:pt>
              </c:strCache>
            </c:strRef>
          </c:cat>
          <c:val>
            <c:numRef>
              <c:f>Analysis!$E$130:$T$130</c:f>
              <c:numCache>
                <c:formatCode>0%</c:formatCode>
                <c:ptCount val="16"/>
                <c:pt idx="0">
                  <c:v>9.5810399748259625E-2</c:v>
                </c:pt>
                <c:pt idx="1">
                  <c:v>0.10603578990641289</c:v>
                </c:pt>
                <c:pt idx="2">
                  <c:v>0.10935674114884375</c:v>
                </c:pt>
                <c:pt idx="3">
                  <c:v>0.12300560039253507</c:v>
                </c:pt>
                <c:pt idx="4">
                  <c:v>0.14687129217906211</c:v>
                </c:pt>
                <c:pt idx="5">
                  <c:v>0.15180856463067413</c:v>
                </c:pt>
                <c:pt idx="7">
                  <c:v>0.16091732456770733</c:v>
                </c:pt>
                <c:pt idx="8">
                  <c:v>0.16742356846712669</c:v>
                </c:pt>
                <c:pt idx="9">
                  <c:v>0.1831297741962562</c:v>
                </c:pt>
                <c:pt idx="10">
                  <c:v>0.19887375597426615</c:v>
                </c:pt>
                <c:pt idx="11">
                  <c:v>0.20649037313408611</c:v>
                </c:pt>
                <c:pt idx="12">
                  <c:v>0.2157660007248062</c:v>
                </c:pt>
                <c:pt idx="13">
                  <c:v>0.23377785847504462</c:v>
                </c:pt>
                <c:pt idx="14">
                  <c:v>0.23977615436901534</c:v>
                </c:pt>
                <c:pt idx="15">
                  <c:v>0.23146336913799737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F-4DFB-98D4-08C2F670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529664"/>
        <c:axId val="195568768"/>
      </c:lineChart>
      <c:catAx>
        <c:axId val="14652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95568768"/>
        <c:crosses val="autoZero"/>
        <c:auto val="1"/>
        <c:lblAlgn val="ctr"/>
        <c:lblOffset val="100"/>
        <c:noMultiLvlLbl val="0"/>
      </c:catAx>
      <c:valAx>
        <c:axId val="1955687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Data as % of revenue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652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3.0555555555555558E-2"/>
          <c:y val="5.0925925925925923E-2"/>
          <c:w val="0.93888888888888899"/>
          <c:h val="0.89814814814814814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Analysis!$I$124:$T$124</c:f>
              <c:strCache>
                <c:ptCount val="12"/>
                <c:pt idx="0">
                  <c:v>Q2 09</c:v>
                </c:pt>
                <c:pt idx="1">
                  <c:v>Q3 09</c:v>
                </c:pt>
                <c:pt idx="3">
                  <c:v>Q4 09</c:v>
                </c:pt>
                <c:pt idx="4">
                  <c:v>Q1 10</c:v>
                </c:pt>
                <c:pt idx="5">
                  <c:v>Q2 10</c:v>
                </c:pt>
                <c:pt idx="6">
                  <c:v>Q3 10</c:v>
                </c:pt>
                <c:pt idx="7">
                  <c:v>Q4 10</c:v>
                </c:pt>
                <c:pt idx="8">
                  <c:v>Q1 11</c:v>
                </c:pt>
                <c:pt idx="9">
                  <c:v>Q2 11</c:v>
                </c:pt>
                <c:pt idx="10">
                  <c:v>Q3 11</c:v>
                </c:pt>
                <c:pt idx="11">
                  <c:v>Q4 11</c:v>
                </c:pt>
              </c:strCache>
            </c:strRef>
          </c:cat>
          <c:val>
            <c:numRef>
              <c:f>Analysis!$I$131:$T$131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C-4890-A917-4F7A79770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81056"/>
        <c:axId val="195582592"/>
      </c:lineChart>
      <c:catAx>
        <c:axId val="19558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95582592"/>
        <c:crosses val="autoZero"/>
        <c:auto val="1"/>
        <c:lblAlgn val="ctr"/>
        <c:lblOffset val="100"/>
        <c:noMultiLvlLbl val="0"/>
      </c:catAx>
      <c:valAx>
        <c:axId val="1955825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Dongles as % of total SIMs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19558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Analysis!$V$71:$V$73</c:f>
              <c:strCache>
                <c:ptCount val="3"/>
                <c:pt idx="0">
                  <c:v>MTR rate</c:v>
                </c:pt>
                <c:pt idx="1">
                  <c:v>Voice yield per minute</c:v>
                </c:pt>
                <c:pt idx="2">
                  <c:v>Outbound price per minute</c:v>
                </c:pt>
              </c:strCache>
            </c:strRef>
          </c:cat>
          <c:val>
            <c:numRef>
              <c:f>Analysis!$W$71:$W$73</c:f>
              <c:numCache>
                <c:formatCode>0</c:formatCode>
                <c:ptCount val="3"/>
                <c:pt idx="0">
                  <c:v>65</c:v>
                </c:pt>
                <c:pt idx="1">
                  <c:v>52.628491933542932</c:v>
                </c:pt>
                <c:pt idx="2">
                  <c:v>49.06726496869851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8-4D04-949C-00C961B00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619456"/>
        <c:axId val="195920256"/>
      </c:barChart>
      <c:catAx>
        <c:axId val="195619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5920256"/>
        <c:crosses val="autoZero"/>
        <c:auto val="1"/>
        <c:lblAlgn val="ctr"/>
        <c:lblOffset val="100"/>
        <c:noMultiLvlLbl val="0"/>
      </c:catAx>
      <c:valAx>
        <c:axId val="1959202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195619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Analysis!$B$18</c:f>
              <c:strCache>
                <c:ptCount val="1"/>
                <c:pt idx="0">
                  <c:v>Market service revenue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Analysis!$E$4:$H$4</c:f>
              <c:numCache>
                <c:formatCode>General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Analysis!$E$18:$H$18</c:f>
              <c:numCache>
                <c:formatCode>0.0%</c:formatCode>
                <c:ptCount val="4"/>
                <c:pt idx="0">
                  <c:v>0.10228443844178936</c:v>
                </c:pt>
                <c:pt idx="1">
                  <c:v>-4.1014361091668561E-2</c:v>
                </c:pt>
                <c:pt idx="2">
                  <c:v>0.14425174085734671</c:v>
                </c:pt>
                <c:pt idx="3">
                  <c:v>0.14705366276343979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2-43B4-B3A3-04EA202484C2}"/>
            </c:ext>
          </c:extLst>
        </c:ser>
        <c:ser>
          <c:idx val="1"/>
          <c:order val="1"/>
          <c:tx>
            <c:strRef>
              <c:f>Analysis!$B$20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Analysis!$E$4:$H$4</c:f>
              <c:numCache>
                <c:formatCode>General</c:formatCode>
                <c:ptCount val="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</c:numCache>
            </c:numRef>
          </c:cat>
          <c:val>
            <c:numRef>
              <c:f>Analysis!$E$20:$H$20</c:f>
              <c:numCache>
                <c:formatCode>0.0%</c:formatCode>
                <c:ptCount val="4"/>
                <c:pt idx="0">
                  <c:v>0.04</c:v>
                </c:pt>
                <c:pt idx="1">
                  <c:v>1.2E-2</c:v>
                </c:pt>
                <c:pt idx="2">
                  <c:v>0.13339999999999999</c:v>
                </c:pt>
                <c:pt idx="3">
                  <c:v>8.4000000000000005E-2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2-43B4-B3A3-04EA202484C2}"/>
            </c:ext>
          </c:extLst>
        </c:ser>
        <c:ser>
          <c:idx val="2"/>
          <c:order val="2"/>
          <c:tx>
            <c:v>Real GDP growth</c:v>
          </c:tx>
          <c:spPr>
            <a:ln w="25400">
              <a:solidFill>
                <a:srgbClr val="3366FF"/>
              </a:solidFill>
              <a:prstDash val="dash"/>
            </a:ln>
            <a:effectLst/>
          </c:spPr>
          <c:marker>
            <c:symbol val="none"/>
          </c:marker>
          <c:val>
            <c:numRef>
              <c:f>Analysis!$E$19:$H$19</c:f>
              <c:numCache>
                <c:formatCode>0.0%</c:formatCode>
                <c:ptCount val="4"/>
                <c:pt idx="0">
                  <c:v>3.6999999999999998E-2</c:v>
                </c:pt>
                <c:pt idx="1">
                  <c:v>-1.6E-2</c:v>
                </c:pt>
                <c:pt idx="2">
                  <c:v>5.1999999999999998E-2</c:v>
                </c:pt>
                <c:pt idx="3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2-43B4-B3A3-04EA20248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258048"/>
        <c:axId val="196366336"/>
      </c:lineChart>
      <c:catAx>
        <c:axId val="1962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366336"/>
        <c:crosses val="autoZero"/>
        <c:auto val="1"/>
        <c:lblAlgn val="ctr"/>
        <c:lblOffset val="100"/>
        <c:noMultiLvlLbl val="0"/>
      </c:catAx>
      <c:valAx>
        <c:axId val="1963663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crossAx val="196258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Analysis!$B$31</c:f>
              <c:strCache>
                <c:ptCount val="1"/>
                <c:pt idx="0">
                  <c:v>Mobile service revs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Analysis!$C$30:$M$30</c:f>
              <c:strCache>
                <c:ptCount val="11"/>
                <c:pt idx="0">
                  <c:v>Q4 10</c:v>
                </c:pt>
                <c:pt idx="1">
                  <c:v>Q1 11</c:v>
                </c:pt>
                <c:pt idx="2">
                  <c:v>Q2 11</c:v>
                </c:pt>
                <c:pt idx="3">
                  <c:v>Q3 11</c:v>
                </c:pt>
                <c:pt idx="4">
                  <c:v>Q4 11</c:v>
                </c:pt>
                <c:pt idx="5">
                  <c:v>Q1 12</c:v>
                </c:pt>
                <c:pt idx="6">
                  <c:v>Q2 12</c:v>
                </c:pt>
                <c:pt idx="7">
                  <c:v>Q3 12</c:v>
                </c:pt>
                <c:pt idx="9">
                  <c:v>Q4 12</c:v>
                </c:pt>
                <c:pt idx="10">
                  <c:v>Q1 13</c:v>
                </c:pt>
              </c:strCache>
            </c:strRef>
          </c:cat>
          <c:val>
            <c:numRef>
              <c:f>Analysis!$C$31:$M$31</c:f>
              <c:numCache>
                <c:formatCode>0.0%</c:formatCode>
                <c:ptCount val="11"/>
                <c:pt idx="0">
                  <c:v>0.1999485448794589</c:v>
                </c:pt>
                <c:pt idx="1">
                  <c:v>0.19291749825907023</c:v>
                </c:pt>
                <c:pt idx="2">
                  <c:v>0.15289678292621511</c:v>
                </c:pt>
                <c:pt idx="3">
                  <c:v>0.17342640230700379</c:v>
                </c:pt>
                <c:pt idx="4">
                  <c:v>0.12363964670809446</c:v>
                </c:pt>
                <c:pt idx="5">
                  <c:v>0.16327062153875382</c:v>
                </c:pt>
                <c:pt idx="6">
                  <c:v>0.16175463768481957</c:v>
                </c:pt>
                <c:pt idx="7">
                  <c:v>0.14433159773778659</c:v>
                </c:pt>
                <c:pt idx="9">
                  <c:v>0.13878640512259266</c:v>
                </c:pt>
                <c:pt idx="10">
                  <c:v>9.339059070980249E-2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E-4330-B967-549C242DE1C4}"/>
            </c:ext>
          </c:extLst>
        </c:ser>
        <c:ser>
          <c:idx val="1"/>
          <c:order val="1"/>
          <c:tx>
            <c:strRef>
              <c:f>Analysis!$B$32</c:f>
              <c:strCache>
                <c:ptCount val="1"/>
                <c:pt idx="0">
                  <c:v>Mobile VAS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Analysis!$C$30:$M$30</c:f>
              <c:strCache>
                <c:ptCount val="11"/>
                <c:pt idx="0">
                  <c:v>Q4 10</c:v>
                </c:pt>
                <c:pt idx="1">
                  <c:v>Q1 11</c:v>
                </c:pt>
                <c:pt idx="2">
                  <c:v>Q2 11</c:v>
                </c:pt>
                <c:pt idx="3">
                  <c:v>Q3 11</c:v>
                </c:pt>
                <c:pt idx="4">
                  <c:v>Q4 11</c:v>
                </c:pt>
                <c:pt idx="5">
                  <c:v>Q1 12</c:v>
                </c:pt>
                <c:pt idx="6">
                  <c:v>Q2 12</c:v>
                </c:pt>
                <c:pt idx="7">
                  <c:v>Q3 12</c:v>
                </c:pt>
                <c:pt idx="9">
                  <c:v>Q4 12</c:v>
                </c:pt>
                <c:pt idx="10">
                  <c:v>Q1 13</c:v>
                </c:pt>
              </c:strCache>
            </c:strRef>
          </c:cat>
          <c:val>
            <c:numRef>
              <c:f>Analysis!$C$32:$M$32</c:f>
              <c:numCache>
                <c:formatCode>0.0%</c:formatCode>
                <c:ptCount val="11"/>
                <c:pt idx="0">
                  <c:v>0.5597197898423818</c:v>
                </c:pt>
                <c:pt idx="1">
                  <c:v>0.53736442336395895</c:v>
                </c:pt>
                <c:pt idx="2">
                  <c:v>0.4717527072709562</c:v>
                </c:pt>
                <c:pt idx="3">
                  <c:v>0.41476520520208715</c:v>
                </c:pt>
                <c:pt idx="4">
                  <c:v>0.2595328991690995</c:v>
                </c:pt>
                <c:pt idx="5">
                  <c:v>0.19335490830636459</c:v>
                </c:pt>
                <c:pt idx="6">
                  <c:v>0.20991571448036916</c:v>
                </c:pt>
                <c:pt idx="7">
                  <c:v>0.1960881451716483</c:v>
                </c:pt>
                <c:pt idx="9">
                  <c:v>0.16561770107154961</c:v>
                </c:pt>
                <c:pt idx="10">
                  <c:v>0.18560167775527914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E-4330-B967-549C242DE1C4}"/>
            </c:ext>
          </c:extLst>
        </c:ser>
        <c:ser>
          <c:idx val="2"/>
          <c:order val="2"/>
          <c:tx>
            <c:strRef>
              <c:f>Analysis!$B$33</c:f>
              <c:strCache>
                <c:ptCount val="1"/>
                <c:pt idx="0">
                  <c:v>Mobile voice</c:v>
                </c:pt>
              </c:strCache>
            </c:strRef>
          </c:tx>
          <c:spPr>
            <a:ln w="25400">
              <a:solidFill>
                <a:srgbClr val="333399"/>
              </a:solidFill>
              <a:prstDash val="lgDash"/>
            </a:ln>
            <a:effectLst/>
          </c:spPr>
          <c:marker>
            <c:symbol val="none"/>
          </c:marker>
          <c:cat>
            <c:strRef>
              <c:f>Analysis!$C$30:$M$30</c:f>
              <c:strCache>
                <c:ptCount val="11"/>
                <c:pt idx="0">
                  <c:v>Q4 10</c:v>
                </c:pt>
                <c:pt idx="1">
                  <c:v>Q1 11</c:v>
                </c:pt>
                <c:pt idx="2">
                  <c:v>Q2 11</c:v>
                </c:pt>
                <c:pt idx="3">
                  <c:v>Q3 11</c:v>
                </c:pt>
                <c:pt idx="4">
                  <c:v>Q4 11</c:v>
                </c:pt>
                <c:pt idx="5">
                  <c:v>Q1 12</c:v>
                </c:pt>
                <c:pt idx="6">
                  <c:v>Q2 12</c:v>
                </c:pt>
                <c:pt idx="7">
                  <c:v>Q3 12</c:v>
                </c:pt>
                <c:pt idx="9">
                  <c:v>Q4 12</c:v>
                </c:pt>
                <c:pt idx="10">
                  <c:v>Q1 13</c:v>
                </c:pt>
              </c:strCache>
            </c:strRef>
          </c:cat>
          <c:val>
            <c:numRef>
              <c:f>Analysis!$C$33:$M$33</c:f>
              <c:numCache>
                <c:formatCode>0.0%</c:formatCode>
                <c:ptCount val="11"/>
                <c:pt idx="0">
                  <c:v>0.14061326882053615</c:v>
                </c:pt>
                <c:pt idx="1">
                  <c:v>0.12365234593856211</c:v>
                </c:pt>
                <c:pt idx="2">
                  <c:v>8.1414175797356547E-2</c:v>
                </c:pt>
                <c:pt idx="3">
                  <c:v>0.1135158020089857</c:v>
                </c:pt>
                <c:pt idx="4">
                  <c:v>8.8276939745222105E-2</c:v>
                </c:pt>
                <c:pt idx="5">
                  <c:v>0.15499354320944803</c:v>
                </c:pt>
                <c:pt idx="6">
                  <c:v>0.14706047422367541</c:v>
                </c:pt>
                <c:pt idx="7">
                  <c:v>0.12800747691675562</c:v>
                </c:pt>
                <c:pt idx="9">
                  <c:v>0.13070551228119531</c:v>
                </c:pt>
                <c:pt idx="10">
                  <c:v>6.7177963296830123E-2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6E-4330-B967-549C242DE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941120"/>
        <c:axId val="219951104"/>
      </c:lineChart>
      <c:catAx>
        <c:axId val="219941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9951104"/>
        <c:crosses val="autoZero"/>
        <c:auto val="1"/>
        <c:lblAlgn val="ctr"/>
        <c:lblOffset val="100"/>
        <c:noMultiLvlLbl val="0"/>
      </c:catAx>
      <c:valAx>
        <c:axId val="2199511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y/y growth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19941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Analysis!$B$189</c:f>
              <c:strCache>
                <c:ptCount val="1"/>
                <c:pt idx="0">
                  <c:v>Revenue (consensus)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dash"/>
            </a:ln>
            <a:effectLst/>
          </c:spPr>
          <c:marker>
            <c:symbol val="none"/>
          </c:marker>
          <c:cat>
            <c:numRef>
              <c:f>Analysis!$C$188:$H$188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Analysis!$C$189:$H$189</c:f>
              <c:numCache>
                <c:formatCode>0%</c:formatCode>
                <c:ptCount val="6"/>
                <c:pt idx="0">
                  <c:v>9.2638671480318679E-2</c:v>
                </c:pt>
                <c:pt idx="1">
                  <c:v>0.14178941053499394</c:v>
                </c:pt>
                <c:pt idx="2">
                  <c:v>6.4199401248272503E-2</c:v>
                </c:pt>
                <c:pt idx="3">
                  <c:v>-1.7805686493329143E-2</c:v>
                </c:pt>
                <c:pt idx="4">
                  <c:v>-9.3194965722384726E-2</c:v>
                </c:pt>
                <c:pt idx="5">
                  <c:v>-9.6079872455985482E-2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9-410B-BBE6-3ED6F1F7ED99}"/>
            </c:ext>
          </c:extLst>
        </c:ser>
        <c:ser>
          <c:idx val="1"/>
          <c:order val="1"/>
          <c:tx>
            <c:strRef>
              <c:f>Analysis!$B$190</c:f>
              <c:strCache>
                <c:ptCount val="1"/>
                <c:pt idx="0">
                  <c:v>Revenue (NSRe)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Analysis!$C$188:$H$188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Analysis!$C$190:$H$190</c:f>
              <c:numCache>
                <c:formatCode>0%</c:formatCode>
                <c:ptCount val="6"/>
                <c:pt idx="0">
                  <c:v>9.2638671480318679E-2</c:v>
                </c:pt>
                <c:pt idx="1">
                  <c:v>0.14178941053499394</c:v>
                </c:pt>
                <c:pt idx="2">
                  <c:v>0.16114963555118611</c:v>
                </c:pt>
                <c:pt idx="3">
                  <c:v>0.14091449161905722</c:v>
                </c:pt>
                <c:pt idx="4">
                  <c:v>1.2240788841374028E-2</c:v>
                </c:pt>
                <c:pt idx="5">
                  <c:v>7.7407991211818405E-2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9-410B-BBE6-3ED6F1F7E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960832"/>
        <c:axId val="219962368"/>
      </c:lineChart>
      <c:catAx>
        <c:axId val="2199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9962368"/>
        <c:crosses val="autoZero"/>
        <c:auto val="1"/>
        <c:lblAlgn val="ctr"/>
        <c:lblOffset val="100"/>
        <c:noMultiLvlLbl val="0"/>
      </c:catAx>
      <c:valAx>
        <c:axId val="2199623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crossAx val="219960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'New Ints'!$B$138</c:f>
              <c:strCache>
                <c:ptCount val="1"/>
                <c:pt idx="0">
                  <c:v>Net debt to clean EBITDA (IAS 17)</c:v>
                </c:pt>
              </c:strCache>
            </c:strRef>
          </c:tx>
          <c:spPr>
            <a:ln w="25400" cap="rnd">
              <a:solidFill>
                <a:srgbClr val="26323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Helvetica Neue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'New Ints'!$K$115:$T$115</c:f>
              <c:numCache>
                <c:formatCode>General</c:formatCode>
                <c:ptCount val="6"/>
              </c:numCache>
            </c:numRef>
          </c:cat>
          <c:val>
            <c:numRef>
              <c:f>'New Ints'!$K$138:$T$138</c:f>
              <c:numCache>
                <c:formatCode>0.00\x</c:formatCode>
                <c:ptCount val="6"/>
                <c:pt idx="0">
                  <c:v>2.3592912864292024</c:v>
                </c:pt>
                <c:pt idx="1">
                  <c:v>2.0173684022600176</c:v>
                </c:pt>
                <c:pt idx="2">
                  <c:v>1.711325187747176</c:v>
                </c:pt>
                <c:pt idx="3">
                  <c:v>1.9995400509482026</c:v>
                </c:pt>
                <c:pt idx="4">
                  <c:v>2.112220387107449</c:v>
                </c:pt>
                <c:pt idx="5">
                  <c:v>2.0989220598018381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7-49C9-9598-BD5CAEA86611}"/>
            </c:ext>
          </c:extLst>
        </c:ser>
        <c:ser>
          <c:idx val="1"/>
          <c:order val="1"/>
          <c:tx>
            <c:strRef>
              <c:f>'New Ints'!$B$139</c:f>
              <c:strCache>
                <c:ptCount val="1"/>
                <c:pt idx="0">
                  <c:v>Net debt to clean EBITDA (IFRS 16)</c:v>
                </c:pt>
              </c:strCache>
            </c:strRef>
          </c:tx>
          <c:spPr>
            <a:ln w="25400" cap="rnd">
              <a:solidFill>
                <a:srgbClr val="799098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595959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Helvetica Neue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'New Ints'!$K$115:$T$115</c:f>
              <c:numCache>
                <c:formatCode>General</c:formatCode>
                <c:ptCount val="6"/>
              </c:numCache>
            </c:numRef>
          </c:cat>
          <c:val>
            <c:numRef>
              <c:f>'New Ints'!$K$139:$T$139</c:f>
              <c:numCache>
                <c:formatCode>0.00\x</c:formatCode>
                <c:ptCount val="6"/>
                <c:pt idx="0">
                  <c:v>2.6916027554569757</c:v>
                </c:pt>
                <c:pt idx="1">
                  <c:v>2.3649835369091874</c:v>
                </c:pt>
                <c:pt idx="2">
                  <c:v>2.1453859894418423</c:v>
                </c:pt>
                <c:pt idx="3">
                  <c:v>2.4508625426346944</c:v>
                </c:pt>
                <c:pt idx="4">
                  <c:v>2.5325104192762304</c:v>
                </c:pt>
                <c:pt idx="5">
                  <c:v>2.5534455210609091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7-49C9-9598-BD5CAEA86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7684064"/>
        <c:axId val="1097679144"/>
      </c:lineChart>
      <c:catAx>
        <c:axId val="10976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B3B3B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595959"/>
                </a:solidFill>
                <a:latin typeface="Roboto" panose="02000000000000000000" pitchFamily="2" charset="0"/>
                <a:ea typeface="Roboto" panose="02000000000000000000" pitchFamily="2" charset="0"/>
                <a:cs typeface="Helvetica Neue"/>
              </a:defRPr>
            </a:pPr>
            <a:endParaRPr lang="en-US"/>
          </a:p>
        </c:txPr>
        <c:crossAx val="1097679144"/>
        <c:crosses val="autoZero"/>
        <c:auto val="1"/>
        <c:lblAlgn val="ctr"/>
        <c:lblOffset val="100"/>
        <c:noMultiLvlLbl val="0"/>
      </c:catAx>
      <c:valAx>
        <c:axId val="1097679144"/>
        <c:scaling>
          <c:orientation val="minMax"/>
        </c:scaling>
        <c:delete val="1"/>
        <c:axPos val="l"/>
        <c:numFmt formatCode="0.00\x" sourceLinked="1"/>
        <c:majorTickMark val="out"/>
        <c:minorTickMark val="none"/>
        <c:tickLblPos val="nextTo"/>
        <c:crossAx val="10976840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  <a:cs typeface="Helvetica Neue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595959"/>
          </a:solidFill>
          <a:latin typeface="Roboto" panose="02000000000000000000" pitchFamily="2" charset="0"/>
          <a:ea typeface="Roboto" panose="02000000000000000000" pitchFamily="2" charset="0"/>
          <a:cs typeface="Helvetica Neue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Analysis!$B$193</c:f>
              <c:strCache>
                <c:ptCount val="1"/>
                <c:pt idx="0">
                  <c:v>EBITDA (consensus)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dash"/>
            </a:ln>
            <a:effectLst/>
          </c:spPr>
          <c:marker>
            <c:symbol val="none"/>
          </c:marker>
          <c:cat>
            <c:numRef>
              <c:f>Analysis!$C$188:$H$188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Analysis!$C$193:$H$193</c:f>
              <c:numCache>
                <c:formatCode>0%</c:formatCode>
                <c:ptCount val="6"/>
                <c:pt idx="0">
                  <c:v>0.11229625421693346</c:v>
                </c:pt>
                <c:pt idx="1">
                  <c:v>0.15404465211713392</c:v>
                </c:pt>
                <c:pt idx="2">
                  <c:v>4.99709820865335E-2</c:v>
                </c:pt>
                <c:pt idx="3">
                  <c:v>6.617645703754893E-2</c:v>
                </c:pt>
                <c:pt idx="4">
                  <c:v>0.3274898362983778</c:v>
                </c:pt>
                <c:pt idx="5">
                  <c:v>0.68848286221493926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9-4B19-B2B0-EF7B1BC25AAC}"/>
            </c:ext>
          </c:extLst>
        </c:ser>
        <c:ser>
          <c:idx val="1"/>
          <c:order val="1"/>
          <c:tx>
            <c:strRef>
              <c:f>Analysis!$B$194</c:f>
              <c:strCache>
                <c:ptCount val="1"/>
                <c:pt idx="0">
                  <c:v>EBITDA (NSRe)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Analysis!$C$188:$H$188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Analysis!$C$194:$H$194</c:f>
              <c:numCache>
                <c:formatCode>0%</c:formatCode>
                <c:ptCount val="6"/>
                <c:pt idx="0">
                  <c:v>0.11229625421693346</c:v>
                </c:pt>
                <c:pt idx="1">
                  <c:v>0.15404465211713392</c:v>
                </c:pt>
                <c:pt idx="2">
                  <c:v>5.3233798978647107E-2</c:v>
                </c:pt>
                <c:pt idx="3">
                  <c:v>-0.14869753513015438</c:v>
                </c:pt>
                <c:pt idx="4">
                  <c:v>-0.20736116102160895</c:v>
                </c:pt>
                <c:pt idx="5">
                  <c:v>-3.7252492148026617E-3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9-4B19-B2B0-EF7B1BC25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00640"/>
        <c:axId val="220002176"/>
      </c:lineChart>
      <c:catAx>
        <c:axId val="2200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0002176"/>
        <c:crosses val="autoZero"/>
        <c:auto val="1"/>
        <c:lblAlgn val="ctr"/>
        <c:lblOffset val="100"/>
        <c:noMultiLvlLbl val="0"/>
      </c:catAx>
      <c:valAx>
        <c:axId val="2200021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crossAx val="220000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66185476815402E-2"/>
          <c:y val="5.8998415905761298E-2"/>
          <c:w val="0.89183294374662081"/>
          <c:h val="0.76973161159978809"/>
        </c:manualLayout>
      </c:layout>
      <c:lineChart>
        <c:grouping val="standard"/>
        <c:varyColors val="0"/>
        <c:ser>
          <c:idx val="0"/>
          <c:order val="0"/>
          <c:tx>
            <c:strRef>
              <c:f>Analysis!$B$215</c:f>
              <c:strCache>
                <c:ptCount val="1"/>
                <c:pt idx="0">
                  <c:v>New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dash"/>
            </a:ln>
            <a:effectLst/>
          </c:spPr>
          <c:marker>
            <c:symbol val="none"/>
          </c:marker>
          <c:cat>
            <c:numRef>
              <c:f>Analysis!$D$214:$L$214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Analysis!$D$215:$L$215</c:f>
              <c:numCache>
                <c:formatCode>0.0%</c:formatCode>
                <c:ptCount val="9"/>
                <c:pt idx="0">
                  <c:v>0.17973648227146988</c:v>
                </c:pt>
                <c:pt idx="1">
                  <c:v>0.16004421789596512</c:v>
                </c:pt>
                <c:pt idx="2">
                  <c:v>0.10879771236293052</c:v>
                </c:pt>
                <c:pt idx="3">
                  <c:v>7.0542683127882172E-2</c:v>
                </c:pt>
                <c:pt idx="4">
                  <c:v>4.5800685492213992E-2</c:v>
                </c:pt>
                <c:pt idx="5">
                  <c:v>5.402712927147936E-2</c:v>
                </c:pt>
                <c:pt idx="6">
                  <c:v>5.0200595035207615E-2</c:v>
                </c:pt>
                <c:pt idx="8">
                  <c:v>2.3155034453469094E-2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D-4401-AF96-624AC098A995}"/>
            </c:ext>
          </c:extLst>
        </c:ser>
        <c:ser>
          <c:idx val="1"/>
          <c:order val="1"/>
          <c:tx>
            <c:strRef>
              <c:f>Analysis!$B$216</c:f>
              <c:strCache>
                <c:ptCount val="1"/>
                <c:pt idx="0">
                  <c:v>Old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Analysis!$D$214:$L$214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Analysis!$D$216:$L$216</c:f>
              <c:numCache>
                <c:formatCode>0.0%</c:formatCode>
                <c:ptCount val="9"/>
                <c:pt idx="0">
                  <c:v>0.1757134228181878</c:v>
                </c:pt>
                <c:pt idx="1">
                  <c:v>0.17432999490440634</c:v>
                </c:pt>
                <c:pt idx="2">
                  <c:v>0.159951847830866</c:v>
                </c:pt>
                <c:pt idx="3">
                  <c:v>0.1612372499016034</c:v>
                </c:pt>
                <c:pt idx="4">
                  <c:v>0.16448177085941917</c:v>
                </c:pt>
                <c:pt idx="5">
                  <c:v>0.16567813468429726</c:v>
                </c:pt>
                <c:pt idx="6">
                  <c:v>0.16764679837202762</c:v>
                </c:pt>
                <c:pt idx="8">
                  <c:v>0.17665390900497388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D-4401-AF96-624AC098A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768704"/>
        <c:axId val="222331648"/>
      </c:lineChart>
      <c:catAx>
        <c:axId val="2217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2331648"/>
        <c:crosses val="autoZero"/>
        <c:auto val="1"/>
        <c:lblAlgn val="ctr"/>
        <c:lblOffset val="100"/>
        <c:noMultiLvlLbl val="0"/>
      </c:catAx>
      <c:valAx>
        <c:axId val="2223316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crossAx val="221768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Analysis!$B$237</c:f>
              <c:strCache>
                <c:ptCount val="1"/>
                <c:pt idx="0">
                  <c:v>Entel mobile margin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Analysis!$C$236:$J$236</c:f>
              <c:strCache>
                <c:ptCount val="8"/>
                <c:pt idx="0">
                  <c:v>Q1 10</c:v>
                </c:pt>
                <c:pt idx="1">
                  <c:v>Q2 10</c:v>
                </c:pt>
                <c:pt idx="2">
                  <c:v>Q3 10</c:v>
                </c:pt>
                <c:pt idx="3">
                  <c:v>Q4 10</c:v>
                </c:pt>
                <c:pt idx="4">
                  <c:v>Q1 11</c:v>
                </c:pt>
                <c:pt idx="5">
                  <c:v>Q2 11</c:v>
                </c:pt>
                <c:pt idx="6">
                  <c:v>Q3 11</c:v>
                </c:pt>
                <c:pt idx="7">
                  <c:v>Q4 11</c:v>
                </c:pt>
              </c:strCache>
            </c:strRef>
          </c:cat>
          <c:val>
            <c:numRef>
              <c:f>Analysis!$C$237:$J$237</c:f>
              <c:numCache>
                <c:formatCode>0.0%</c:formatCode>
                <c:ptCount val="8"/>
                <c:pt idx="0">
                  <c:v>0.39624312385397564</c:v>
                </c:pt>
                <c:pt idx="1">
                  <c:v>0.39044120141719535</c:v>
                </c:pt>
                <c:pt idx="2">
                  <c:v>0.43141865956640463</c:v>
                </c:pt>
                <c:pt idx="3">
                  <c:v>0.37654587836406017</c:v>
                </c:pt>
                <c:pt idx="4">
                  <c:v>0.45309091544954994</c:v>
                </c:pt>
                <c:pt idx="5">
                  <c:v>0.43741610453162966</c:v>
                </c:pt>
                <c:pt idx="6">
                  <c:v>0.43365676900688432</c:v>
                </c:pt>
                <c:pt idx="7">
                  <c:v>0.3263107812351318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8-4721-A17E-8C0F99F687D9}"/>
            </c:ext>
          </c:extLst>
        </c:ser>
        <c:ser>
          <c:idx val="1"/>
          <c:order val="1"/>
          <c:tx>
            <c:strRef>
              <c:f>Analysis!$B$238</c:f>
              <c:strCache>
                <c:ptCount val="1"/>
                <c:pt idx="0">
                  <c:v>Entel Group margin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Analysis!$C$236:$J$236</c:f>
              <c:strCache>
                <c:ptCount val="8"/>
                <c:pt idx="0">
                  <c:v>Q1 10</c:v>
                </c:pt>
                <c:pt idx="1">
                  <c:v>Q2 10</c:v>
                </c:pt>
                <c:pt idx="2">
                  <c:v>Q3 10</c:v>
                </c:pt>
                <c:pt idx="3">
                  <c:v>Q4 10</c:v>
                </c:pt>
                <c:pt idx="4">
                  <c:v>Q1 11</c:v>
                </c:pt>
                <c:pt idx="5">
                  <c:v>Q2 11</c:v>
                </c:pt>
                <c:pt idx="6">
                  <c:v>Q3 11</c:v>
                </c:pt>
                <c:pt idx="7">
                  <c:v>Q4 11</c:v>
                </c:pt>
              </c:strCache>
            </c:strRef>
          </c:cat>
          <c:val>
            <c:numRef>
              <c:f>Analysis!$C$238:$J$238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8-4721-A17E-8C0F99F6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521216"/>
        <c:axId val="222522752"/>
      </c:barChart>
      <c:catAx>
        <c:axId val="222521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2522752"/>
        <c:crosses val="autoZero"/>
        <c:auto val="1"/>
        <c:lblAlgn val="ctr"/>
        <c:lblOffset val="100"/>
        <c:noMultiLvlLbl val="0"/>
      </c:catAx>
      <c:valAx>
        <c:axId val="2225227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crossAx val="222521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Analysis!$B$279</c:f>
              <c:strCache>
                <c:ptCount val="1"/>
                <c:pt idx="0">
                  <c:v>Infrastructure capex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Analysis!$C$278:$F$278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Analysis!$C$279:$F$279</c:f>
              <c:numCache>
                <c:formatCode>0</c:formatCode>
                <c:ptCount val="4"/>
                <c:pt idx="0">
                  <c:v>508.47107438016531</c:v>
                </c:pt>
                <c:pt idx="1">
                  <c:v>514.04033790374729</c:v>
                </c:pt>
                <c:pt idx="2">
                  <c:v>504.69414994186099</c:v>
                </c:pt>
                <c:pt idx="3">
                  <c:v>437.51944697236632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5-4540-87BD-651E41E1E635}"/>
            </c:ext>
          </c:extLst>
        </c:ser>
        <c:ser>
          <c:idx val="1"/>
          <c:order val="1"/>
          <c:tx>
            <c:strRef>
              <c:f>Analysis!$B$280</c:f>
              <c:strCache>
                <c:ptCount val="1"/>
                <c:pt idx="0">
                  <c:v>Capitalised subsidifies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Analysis!$C$278:$F$278</c:f>
              <c:numCache>
                <c:formatCode>General</c:formatCode>
                <c:ptCount val="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</c:numCache>
            </c:numRef>
          </c:cat>
          <c:val>
            <c:numRef>
              <c:f>Analysis!$C$280:$F$280</c:f>
              <c:numCache>
                <c:formatCode>0</c:formatCode>
                <c:ptCount val="4"/>
                <c:pt idx="0">
                  <c:v>232.07851239669421</c:v>
                </c:pt>
                <c:pt idx="1">
                  <c:v>242.67962962962963</c:v>
                </c:pt>
                <c:pt idx="2">
                  <c:v>238.26727272727274</c:v>
                </c:pt>
                <c:pt idx="3">
                  <c:v>206.55394045534152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5-4540-87BD-651E41E1E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502528"/>
        <c:axId val="224504064"/>
      </c:barChart>
      <c:catAx>
        <c:axId val="22450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504064"/>
        <c:crosses val="autoZero"/>
        <c:auto val="1"/>
        <c:lblAlgn val="ctr"/>
        <c:lblOffset val="100"/>
        <c:noMultiLvlLbl val="0"/>
      </c:catAx>
      <c:valAx>
        <c:axId val="224504064"/>
        <c:scaling>
          <c:orientation val="minMax"/>
          <c:max val="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224502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Analysis!$B$283</c:f>
              <c:strCache>
                <c:ptCount val="1"/>
                <c:pt idx="0">
                  <c:v>Infrastructure capex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Analysis!$D$278:$F$278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Analysis!$D$283:$F$283</c:f>
              <c:numCache>
                <c:formatCode>0</c:formatCode>
                <c:ptCount val="3"/>
                <c:pt idx="0">
                  <c:v>521.082304526749</c:v>
                </c:pt>
                <c:pt idx="1">
                  <c:v>739.64751606978894</c:v>
                </c:pt>
                <c:pt idx="2">
                  <c:v>900.03502626970226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7-44FD-9DEB-53440733FD0E}"/>
            </c:ext>
          </c:extLst>
        </c:ser>
        <c:ser>
          <c:idx val="1"/>
          <c:order val="1"/>
          <c:tx>
            <c:strRef>
              <c:f>Analysis!$B$284</c:f>
              <c:strCache>
                <c:ptCount val="1"/>
                <c:pt idx="0">
                  <c:v>Capitalised subsidifies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Analysis!$D$278:$F$278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Analysis!$D$284:$F$284</c:f>
              <c:numCache>
                <c:formatCode>0</c:formatCode>
                <c:ptCount val="3"/>
                <c:pt idx="0">
                  <c:v>262.71399176954731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7-44FD-9DEB-53440733F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923008"/>
        <c:axId val="225002624"/>
      </c:barChart>
      <c:catAx>
        <c:axId val="2249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002624"/>
        <c:crosses val="autoZero"/>
        <c:auto val="1"/>
        <c:lblAlgn val="ctr"/>
        <c:lblOffset val="100"/>
        <c:noMultiLvlLbl val="0"/>
      </c:catAx>
      <c:valAx>
        <c:axId val="2250026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crossAx val="224923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904034453259604"/>
          <c:y val="2.2861802653139206E-2"/>
          <c:w val="0.42327031216301708"/>
          <c:h val="0.7931456895376199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0080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D9-477B-ADA2-E8D3919877BF}"/>
              </c:ext>
            </c:extLst>
          </c:dPt>
          <c:dPt>
            <c:idx val="1"/>
            <c:bubble3D val="0"/>
            <c:spPr>
              <a:solidFill>
                <a:srgbClr val="9999FF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D9-477B-ADA2-E8D3919877BF}"/>
              </c:ext>
            </c:extLst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4D9-477B-ADA2-E8D3919877BF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D9-477B-ADA2-E8D3919877BF}"/>
              </c:ext>
            </c:extLst>
          </c:dPt>
          <c:dPt>
            <c:idx val="4"/>
            <c:bubble3D val="0"/>
            <c:spPr>
              <a:solidFill>
                <a:srgbClr val="969696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D9-477B-ADA2-E8D3919877BF}"/>
              </c:ext>
            </c:extLst>
          </c:dPt>
          <c:dPt>
            <c:idx val="5"/>
            <c:bubble3D val="0"/>
            <c:spPr>
              <a:solidFill>
                <a:srgbClr val="C0C0C0"/>
              </a:solidFill>
              <a:ln w="3175">
                <a:solidFill>
                  <a:srgbClr val="C0C0C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B-54D9-477B-ADA2-E8D3919877B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Analysis!$B$289:$B$294</c:f>
              <c:strCache>
                <c:ptCount val="6"/>
                <c:pt idx="0">
                  <c:v>VTR</c:v>
                </c:pt>
                <c:pt idx="1">
                  <c:v>Other cable</c:v>
                </c:pt>
                <c:pt idx="2">
                  <c:v>TEF DTH</c:v>
                </c:pt>
                <c:pt idx="3">
                  <c:v>Claro DTH</c:v>
                </c:pt>
                <c:pt idx="4">
                  <c:v>DirecTV DTH</c:v>
                </c:pt>
                <c:pt idx="5">
                  <c:v>Other</c:v>
                </c:pt>
              </c:strCache>
            </c:strRef>
          </c:cat>
          <c:val>
            <c:numRef>
              <c:f>Analysis!$F$289:$F$294</c:f>
              <c:numCache>
                <c:formatCode>0%</c:formatCode>
                <c:ptCount val="6"/>
                <c:pt idx="0">
                  <c:v>0.441</c:v>
                </c:pt>
                <c:pt idx="1">
                  <c:v>5.0000000000000001E-3</c:v>
                </c:pt>
                <c:pt idx="2">
                  <c:v>0.21</c:v>
                </c:pt>
                <c:pt idx="3">
                  <c:v>0.19700000000000001</c:v>
                </c:pt>
                <c:pt idx="4">
                  <c:v>0.11600000000000001</c:v>
                </c:pt>
                <c:pt idx="5">
                  <c:v>3.1000000000000028E-2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D9-477B-ADA2-E8D391987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7437407280611649E-2"/>
          <c:y val="0.81507963637564995"/>
          <c:w val="0.828313591235878"/>
          <c:h val="7.1976208382575887E-2"/>
        </c:manualLayout>
      </c:layout>
      <c:overlay val="0"/>
      <c:spPr>
        <a:ln w="25400">
          <a:noFill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557959602875734"/>
          <c:y val="6.2869957296132803E-2"/>
          <c:w val="0.42327031216301708"/>
          <c:h val="0.7931456895376199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0080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D1-4347-B1B5-17FC45FBC98C}"/>
              </c:ext>
            </c:extLst>
          </c:dPt>
          <c:dPt>
            <c:idx val="1"/>
            <c:bubble3D val="0"/>
            <c:spPr>
              <a:solidFill>
                <a:srgbClr val="9999FF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D1-4347-B1B5-17FC45FBC98C}"/>
              </c:ext>
            </c:extLst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D1-4347-B1B5-17FC45FBC98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3175">
                <a:solidFill>
                  <a:srgbClr val="C0C0C0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D1-4347-B1B5-17FC45FBC98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Analysis!$B$306:$B$309</c:f>
              <c:strCache>
                <c:ptCount val="4"/>
                <c:pt idx="0">
                  <c:v>TEF</c:v>
                </c:pt>
                <c:pt idx="1">
                  <c:v>VTR</c:v>
                </c:pt>
                <c:pt idx="2">
                  <c:v>GTD</c:v>
                </c:pt>
                <c:pt idx="3">
                  <c:v>Other</c:v>
                </c:pt>
              </c:strCache>
            </c:strRef>
          </c:cat>
          <c:val>
            <c:numRef>
              <c:f>Analysis!$D$306:$D$309</c:f>
              <c:numCache>
                <c:formatCode>0%</c:formatCode>
                <c:ptCount val="4"/>
                <c:pt idx="0">
                  <c:v>0.47485393797981912</c:v>
                </c:pt>
                <c:pt idx="1">
                  <c:v>0.42647479405241162</c:v>
                </c:pt>
                <c:pt idx="2">
                  <c:v>8.7477703819412E-2</c:v>
                </c:pt>
                <c:pt idx="3">
                  <c:v>1.119356414835726E-2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D1-4347-B1B5-17FC45FBC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Analysis!$B$321</c:f>
              <c:strCache>
                <c:ptCount val="1"/>
                <c:pt idx="0">
                  <c:v>Group </c:v>
                </c:pt>
              </c:strCache>
            </c:strRef>
          </c:tx>
          <c:spPr>
            <a:ln w="25400">
              <a:solidFill>
                <a:srgbClr val="000080"/>
              </a:solidFill>
              <a:prstDash val="dash"/>
            </a:ln>
            <a:effectLst/>
          </c:spPr>
          <c:marker>
            <c:symbol val="none"/>
          </c:marker>
          <c:cat>
            <c:numRef>
              <c:f>Analysis!$C$320:$H$320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Analysis!$C$321:$H$321</c:f>
              <c:numCache>
                <c:formatCode>0.0%</c:formatCode>
                <c:ptCount val="6"/>
                <c:pt idx="0">
                  <c:v>0.41517670428675613</c:v>
                </c:pt>
                <c:pt idx="1">
                  <c:v>0.37659068574379134</c:v>
                </c:pt>
                <c:pt idx="2">
                  <c:v>0.28099614947108453</c:v>
                </c:pt>
                <c:pt idx="3">
                  <c:v>0.22003505897949163</c:v>
                </c:pt>
                <c:pt idx="4">
                  <c:v>0.2034655166259125</c:v>
                </c:pt>
                <c:pt idx="5">
                  <c:v>0.22189795106828245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1-44BB-B091-A0CA81E10CE7}"/>
            </c:ext>
          </c:extLst>
        </c:ser>
        <c:ser>
          <c:idx val="2"/>
          <c:order val="1"/>
          <c:tx>
            <c:strRef>
              <c:f>Analysis!$B$323</c:f>
              <c:strCache>
                <c:ptCount val="1"/>
                <c:pt idx="0">
                  <c:v>Group ex pay TV</c:v>
                </c:pt>
              </c:strCache>
            </c:strRef>
          </c:tx>
          <c:spPr>
            <a:ln w="25400">
              <a:solidFill>
                <a:srgbClr val="3366FF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Analysis!$C$320:$H$320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Analysis!$C$323:$H$323</c:f>
              <c:numCache>
                <c:formatCode>0.0%</c:formatCode>
                <c:ptCount val="6"/>
                <c:pt idx="0">
                  <c:v>0.41517670428675613</c:v>
                </c:pt>
                <c:pt idx="1">
                  <c:v>0.38133529297156266</c:v>
                </c:pt>
                <c:pt idx="2">
                  <c:v>0.28807500371352451</c:v>
                </c:pt>
                <c:pt idx="3">
                  <c:v>0.22817145335846994</c:v>
                </c:pt>
                <c:pt idx="4">
                  <c:v>0.21390028576445985</c:v>
                </c:pt>
                <c:pt idx="5">
                  <c:v>0.23667255955945546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1-44BB-B091-A0CA81E10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54208"/>
        <c:axId val="225855744"/>
      </c:lineChart>
      <c:catAx>
        <c:axId val="2258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855744"/>
        <c:crosses val="autoZero"/>
        <c:auto val="1"/>
        <c:lblAlgn val="ctr"/>
        <c:lblOffset val="100"/>
        <c:noMultiLvlLbl val="0"/>
      </c:catAx>
      <c:valAx>
        <c:axId val="2258557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crossAx val="225854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987543871897593"/>
          <c:y val="0.15703139912584924"/>
          <c:w val="0.4884920447604299"/>
          <c:h val="0.5619822106631315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attFill prst="wdDnDiag">
                <a:fgClr>
                  <a:srgbClr val="000080"/>
                </a:fgClr>
                <a:bgClr>
                  <a:srgbClr val="000080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07-42DC-A97E-D3BC801C539C}"/>
              </c:ext>
            </c:extLst>
          </c:dPt>
          <c:dPt>
            <c:idx val="1"/>
            <c:bubble3D val="0"/>
            <c:spPr>
              <a:pattFill prst="wdDnDiag">
                <a:fgClr>
                  <a:srgbClr val="9999FF"/>
                </a:fgClr>
                <a:bgClr>
                  <a:srgbClr val="9999FF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07-42DC-A97E-D3BC801C539C}"/>
              </c:ext>
            </c:extLst>
          </c:dPt>
          <c:dPt>
            <c:idx val="2"/>
            <c:bubble3D val="0"/>
            <c:spPr>
              <a:pattFill prst="wdDnDiag">
                <a:fgClr>
                  <a:srgbClr val="3366FF"/>
                </a:fgClr>
                <a:bgClr>
                  <a:srgbClr val="3366FF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07-42DC-A97E-D3BC801C539C}"/>
              </c:ext>
            </c:extLst>
          </c:dPt>
          <c:dPt>
            <c:idx val="3"/>
            <c:bubble3D val="0"/>
            <c:spPr>
              <a:pattFill prst="wdDnDiag">
                <a:fgClr>
                  <a:srgbClr val="CCCCFF"/>
                </a:fgClr>
                <a:bgClr>
                  <a:srgbClr val="CCCCFF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07-42DC-A97E-D3BC801C539C}"/>
              </c:ext>
            </c:extLst>
          </c:dPt>
          <c:dPt>
            <c:idx val="4"/>
            <c:bubble3D val="0"/>
            <c:spPr>
              <a:pattFill prst="wdDnDiag">
                <a:fgClr>
                  <a:srgbClr val="969696"/>
                </a:fgClr>
                <a:bgClr>
                  <a:srgbClr val="969696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D07-42DC-A97E-D3BC801C539C}"/>
              </c:ext>
            </c:extLst>
          </c:dPt>
          <c:dPt>
            <c:idx val="5"/>
            <c:bubble3D val="0"/>
            <c:spPr>
              <a:pattFill prst="wdDnDiag">
                <a:fgClr>
                  <a:srgbClr val="C0C0C0"/>
                </a:fgClr>
                <a:bgClr>
                  <a:srgbClr val="C0C0C0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D07-42DC-A97E-D3BC801C539C}"/>
              </c:ext>
            </c:extLst>
          </c:dPt>
          <c:dLbls>
            <c:dLbl>
              <c:idx val="0"/>
              <c:layout>
                <c:manualLayout>
                  <c:x val="-4.5334645669291339E-3"/>
                  <c:y val="-2.77981918926800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07-42DC-A97E-D3BC801C53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Analysis!$B$373:$B$378</c:f>
              <c:strCache>
                <c:ptCount val="6"/>
                <c:pt idx="0">
                  <c:v>TEF</c:v>
                </c:pt>
                <c:pt idx="1">
                  <c:v>Liberty Global</c:v>
                </c:pt>
                <c:pt idx="2">
                  <c:v>Claro (formerly Telmex)</c:v>
                </c:pt>
                <c:pt idx="3">
                  <c:v>GTD</c:v>
                </c:pt>
                <c:pt idx="4">
                  <c:v>Entel</c:v>
                </c:pt>
                <c:pt idx="5">
                  <c:v>Others</c:v>
                </c:pt>
              </c:strCache>
            </c:strRef>
          </c:cat>
          <c:val>
            <c:numRef>
              <c:f>Analysis!$I$373:$I$378</c:f>
              <c:numCache>
                <c:formatCode>0</c:formatCode>
                <c:ptCount val="6"/>
                <c:pt idx="0">
                  <c:v>881</c:v>
                </c:pt>
                <c:pt idx="1">
                  <c:v>858</c:v>
                </c:pt>
                <c:pt idx="2">
                  <c:v>253</c:v>
                </c:pt>
                <c:pt idx="3">
                  <c:v>175</c:v>
                </c:pt>
                <c:pt idx="4">
                  <c:v>30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D07-42DC-A97E-D3BC801C5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21221943114151"/>
          <c:y val="0.76054796854721929"/>
          <c:w val="0.85216559063862674"/>
          <c:h val="0.21054346479414598"/>
        </c:manualLayout>
      </c:layout>
      <c:overlay val="0"/>
      <c:spPr>
        <a:ln w="25400">
          <a:noFill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256960735988725"/>
          <c:y val="6.8769134269086513E-2"/>
          <c:w val="0.79195735792978461"/>
          <c:h val="0.72596069268724361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Residential fixed line loss (LHS)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Analysis!$B$398:$B$402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Analysis!$E$398:$E$402</c:f>
              <c:numCache>
                <c:formatCode>0.00%</c:formatCode>
                <c:ptCount val="5"/>
                <c:pt idx="0">
                  <c:v>2.2465441363141103E-2</c:v>
                </c:pt>
                <c:pt idx="1">
                  <c:v>2.0243316372852371E-2</c:v>
                </c:pt>
                <c:pt idx="2">
                  <c:v>9.8327168879590587E-3</c:v>
                </c:pt>
                <c:pt idx="3">
                  <c:v>-2.9976004046739502E-2</c:v>
                </c:pt>
                <c:pt idx="4">
                  <c:v>-2.6371899282315092E-2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9-4DBD-91B9-2CD9FAA7A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304192"/>
        <c:axId val="227305728"/>
      </c:barChart>
      <c:lineChart>
        <c:grouping val="standard"/>
        <c:varyColors val="0"/>
        <c:ser>
          <c:idx val="1"/>
          <c:order val="1"/>
          <c:tx>
            <c:v>Voice penetration of households (RHS)</c:v>
          </c:tx>
          <c:spPr>
            <a:ln w="25400">
              <a:solidFill>
                <a:srgbClr val="9999FF"/>
              </a:solidFill>
              <a:prstDash val="solid"/>
            </a:ln>
            <a:effectLst/>
          </c:spPr>
          <c:marker>
            <c:symbol val="none"/>
          </c:marker>
          <c:val>
            <c:numRef>
              <c:f>Analysis!$H$398:$H$402</c:f>
              <c:numCache>
                <c:formatCode>0%</c:formatCode>
                <c:ptCount val="5"/>
                <c:pt idx="0">
                  <c:v>0.52670025839793277</c:v>
                </c:pt>
                <c:pt idx="1">
                  <c:v>0.50871705790297339</c:v>
                </c:pt>
                <c:pt idx="2">
                  <c:v>0.50424236972085101</c:v>
                </c:pt>
                <c:pt idx="3">
                  <c:v>0.44584285112188271</c:v>
                </c:pt>
                <c:pt idx="4">
                  <c:v>0.39959664913846132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9-4DBD-91B9-2CD9FAA7A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13152"/>
        <c:axId val="227311616"/>
      </c:lineChart>
      <c:catAx>
        <c:axId val="2273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27305728"/>
        <c:crosses val="autoZero"/>
        <c:auto val="1"/>
        <c:lblAlgn val="ctr"/>
        <c:lblOffset val="100"/>
        <c:noMultiLvlLbl val="0"/>
      </c:catAx>
      <c:valAx>
        <c:axId val="2273057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crossAx val="227304192"/>
        <c:crosses val="autoZero"/>
        <c:crossBetween val="between"/>
      </c:valAx>
      <c:valAx>
        <c:axId val="22731161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27313152"/>
        <c:crosses val="max"/>
        <c:crossBetween val="between"/>
      </c:valAx>
      <c:catAx>
        <c:axId val="227313152"/>
        <c:scaling>
          <c:orientation val="minMax"/>
        </c:scaling>
        <c:delete val="1"/>
        <c:axPos val="b"/>
        <c:majorTickMark val="out"/>
        <c:minorTickMark val="none"/>
        <c:tickLblPos val="none"/>
        <c:crossAx val="2273116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64622765314997"/>
          <c:y val="4.4329293349178081E-2"/>
          <c:w val="0.85341744475053016"/>
          <c:h val="0.6893594430944332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7030A0"/>
              </a:solidFill>
              <a:prstDash val="solid"/>
            </a:ln>
            <a:effectLst/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D95B-46E1-A14D-D463C69E25C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1-D95B-46E1-A14D-D463C69E25C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2-D95B-46E1-A14D-D463C69E25C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3-D95B-46E1-A14D-D463C69E25C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4-D95B-46E1-A14D-D463C69E25C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5-D95B-46E1-A14D-D463C69E25CA}"/>
              </c:ext>
            </c:extLst>
          </c:dPt>
          <c:cat>
            <c:strRef>
              <c:f>Interims!$AA$209:$AW$209</c:f>
              <c:strCache>
                <c:ptCount val="23"/>
                <c:pt idx="0">
                  <c:v>Q1 13</c:v>
                </c:pt>
                <c:pt idx="1">
                  <c:v>Q2 13</c:v>
                </c:pt>
                <c:pt idx="2">
                  <c:v>Q3 13</c:v>
                </c:pt>
                <c:pt idx="3">
                  <c:v>Q4 13</c:v>
                </c:pt>
                <c:pt idx="4">
                  <c:v>Q1 14</c:v>
                </c:pt>
                <c:pt idx="5">
                  <c:v>Q2 14</c:v>
                </c:pt>
                <c:pt idx="6">
                  <c:v>Q3 14</c:v>
                </c:pt>
                <c:pt idx="7">
                  <c:v>Q4 14</c:v>
                </c:pt>
                <c:pt idx="8">
                  <c:v>Q1 15</c:v>
                </c:pt>
                <c:pt idx="9">
                  <c:v>Q2 15</c:v>
                </c:pt>
                <c:pt idx="10">
                  <c:v>Q3 15</c:v>
                </c:pt>
                <c:pt idx="11">
                  <c:v>Q4 15</c:v>
                </c:pt>
                <c:pt idx="12">
                  <c:v>Q1 16</c:v>
                </c:pt>
                <c:pt idx="13">
                  <c:v>Q2 16</c:v>
                </c:pt>
                <c:pt idx="14">
                  <c:v>Q3 16</c:v>
                </c:pt>
                <c:pt idx="15">
                  <c:v>Q4 16</c:v>
                </c:pt>
                <c:pt idx="16">
                  <c:v>Q1 17</c:v>
                </c:pt>
                <c:pt idx="17">
                  <c:v>Q2 17</c:v>
                </c:pt>
                <c:pt idx="18">
                  <c:v>Q3 17</c:v>
                </c:pt>
                <c:pt idx="19">
                  <c:v>Q4 17</c:v>
                </c:pt>
                <c:pt idx="20">
                  <c:v>Q1 18</c:v>
                </c:pt>
                <c:pt idx="21">
                  <c:v>Q2 18</c:v>
                </c:pt>
                <c:pt idx="22">
                  <c:v>Q3 18</c:v>
                </c:pt>
              </c:strCache>
            </c:strRef>
          </c:cat>
          <c:val>
            <c:numRef>
              <c:f>Interims!$AA$210:$AW$210</c:f>
              <c:numCache>
                <c:formatCode>#,##0.00</c:formatCode>
                <c:ptCount val="23"/>
                <c:pt idx="0">
                  <c:v>0.8757423584751457</c:v>
                </c:pt>
                <c:pt idx="1">
                  <c:v>0.97026920272241124</c:v>
                </c:pt>
                <c:pt idx="2">
                  <c:v>1.5610310407170687</c:v>
                </c:pt>
                <c:pt idx="3">
                  <c:v>1.7339686278245132</c:v>
                </c:pt>
                <c:pt idx="4">
                  <c:v>1.8844313613497068</c:v>
                </c:pt>
                <c:pt idx="5">
                  <c:v>1.989985465712294</c:v>
                </c:pt>
                <c:pt idx="6">
                  <c:v>2.2734034237850773</c:v>
                </c:pt>
                <c:pt idx="7">
                  <c:v>2.6063853611907688</c:v>
                </c:pt>
                <c:pt idx="8">
                  <c:v>3.0045380164313307</c:v>
                </c:pt>
                <c:pt idx="9">
                  <c:v>3.4210804449294159</c:v>
                </c:pt>
                <c:pt idx="10">
                  <c:v>3.4280262688230394</c:v>
                </c:pt>
                <c:pt idx="11">
                  <c:v>3.4756624431858678</c:v>
                </c:pt>
                <c:pt idx="12">
                  <c:v>3.3973594594304255</c:v>
                </c:pt>
                <c:pt idx="13">
                  <c:v>3.499930488346104</c:v>
                </c:pt>
                <c:pt idx="14">
                  <c:v>3.2731788581713754</c:v>
                </c:pt>
                <c:pt idx="15">
                  <c:v>3.3009193309327114</c:v>
                </c:pt>
                <c:pt idx="16">
                  <c:v>3.395382927636041</c:v>
                </c:pt>
                <c:pt idx="17">
                  <c:v>3.5089202860963455</c:v>
                </c:pt>
                <c:pt idx="18">
                  <c:v>3.4253368457827</c:v>
                </c:pt>
                <c:pt idx="19">
                  <c:v>3.2791664678495716</c:v>
                </c:pt>
                <c:pt idx="20">
                  <c:v>3.6981241353436349</c:v>
                </c:pt>
                <c:pt idx="21">
                  <c:v>3.8196682082677835</c:v>
                </c:pt>
                <c:pt idx="22">
                  <c:v>3.9841821237380821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5B-46E1-A14D-D463C69E2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19520"/>
        <c:axId val="131425408"/>
      </c:lineChart>
      <c:catAx>
        <c:axId val="13141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31425408"/>
        <c:crosses val="autoZero"/>
        <c:auto val="1"/>
        <c:lblAlgn val="ctr"/>
        <c:lblOffset val="100"/>
        <c:noMultiLvlLbl val="0"/>
      </c:catAx>
      <c:valAx>
        <c:axId val="1314254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debt to 12m rolling EBITDA</a:t>
                </a:r>
              </a:p>
            </c:rich>
          </c:tx>
          <c:layout>
            <c:manualLayout>
              <c:xMode val="edge"/>
              <c:yMode val="edge"/>
              <c:x val="1.6515386318352889E-2"/>
              <c:y val="9.5468256471539448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31419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Analysis!$B$406</c:f>
              <c:strCache>
                <c:ptCount val="1"/>
                <c:pt idx="0">
                  <c:v>Capex/sales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dash"/>
            </a:ln>
            <a:effectLst/>
          </c:spPr>
          <c:marker>
            <c:symbol val="none"/>
          </c:marker>
          <c:cat>
            <c:numRef>
              <c:f>Analysis!$C$405:$I$405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Analysis!$C$406:$I$406</c:f>
              <c:numCache>
                <c:formatCode>0%</c:formatCode>
                <c:ptCount val="7"/>
                <c:pt idx="0">
                  <c:v>0.26242546530460825</c:v>
                </c:pt>
                <c:pt idx="1">
                  <c:v>0.26751630450784675</c:v>
                </c:pt>
                <c:pt idx="2">
                  <c:v>0.28884008977246628</c:v>
                </c:pt>
                <c:pt idx="3">
                  <c:v>0.26436822292919365</c:v>
                </c:pt>
                <c:pt idx="4">
                  <c:v>0.2227135708056581</c:v>
                </c:pt>
                <c:pt idx="5">
                  <c:v>0.30883631711249582</c:v>
                </c:pt>
                <c:pt idx="6">
                  <c:v>0.24165971317400539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9-4A65-A2F6-FA90C34932DB}"/>
            </c:ext>
          </c:extLst>
        </c:ser>
        <c:ser>
          <c:idx val="1"/>
          <c:order val="1"/>
          <c:tx>
            <c:strRef>
              <c:f>Analysis!$B$407</c:f>
              <c:strCache>
                <c:ptCount val="1"/>
                <c:pt idx="0">
                  <c:v>Capex/sales ex-subsids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Analysis!$C$405:$I$405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Analysis!$C$407:$I$407</c:f>
              <c:numCache>
                <c:formatCode>0%</c:formatCode>
                <c:ptCount val="7"/>
                <c:pt idx="0">
                  <c:v>0.18902330519337548</c:v>
                </c:pt>
                <c:pt idx="1">
                  <c:v>0.18436975532196803</c:v>
                </c:pt>
                <c:pt idx="2">
                  <c:v>0.19832139993472558</c:v>
                </c:pt>
                <c:pt idx="3">
                  <c:v>0.17575689435958936</c:v>
                </c:pt>
                <c:pt idx="4">
                  <c:v>0.2227135708056581</c:v>
                </c:pt>
                <c:pt idx="5">
                  <c:v>0.30883631711249582</c:v>
                </c:pt>
                <c:pt idx="6">
                  <c:v>0.24165971317400539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9-4A65-A2F6-FA90C349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474048"/>
        <c:axId val="227709312"/>
      </c:lineChart>
      <c:catAx>
        <c:axId val="2274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7709312"/>
        <c:crosses val="autoZero"/>
        <c:auto val="1"/>
        <c:lblAlgn val="ctr"/>
        <c:lblOffset val="100"/>
        <c:noMultiLvlLbl val="0"/>
      </c:catAx>
      <c:valAx>
        <c:axId val="2277093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crossAx val="227474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66185476815402E-2"/>
          <c:y val="5.8998415905761298E-2"/>
          <c:w val="0.89183294374662081"/>
          <c:h val="0.73202128709894621"/>
        </c:manualLayout>
      </c:layout>
      <c:lineChart>
        <c:grouping val="standard"/>
        <c:varyColors val="0"/>
        <c:ser>
          <c:idx val="0"/>
          <c:order val="0"/>
          <c:tx>
            <c:strRef>
              <c:f>Analysis!$B$215</c:f>
              <c:strCache>
                <c:ptCount val="1"/>
                <c:pt idx="0">
                  <c:v>New 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Analysis!$D$214:$H$214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Analysis!$D$215:$H$215</c:f>
              <c:numCache>
                <c:formatCode>0.0%</c:formatCode>
                <c:ptCount val="5"/>
                <c:pt idx="0">
                  <c:v>0.17973648227146988</c:v>
                </c:pt>
                <c:pt idx="1">
                  <c:v>0.16004421789596512</c:v>
                </c:pt>
                <c:pt idx="2">
                  <c:v>0.10879771236293052</c:v>
                </c:pt>
                <c:pt idx="3">
                  <c:v>7.0542683127882172E-2</c:v>
                </c:pt>
                <c:pt idx="4">
                  <c:v>4.5800685492213992E-2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7-404D-AE38-38AA8C1A7E20}"/>
            </c:ext>
          </c:extLst>
        </c:ser>
        <c:ser>
          <c:idx val="2"/>
          <c:order val="1"/>
          <c:tx>
            <c:strRef>
              <c:f>Analysis!$B$217</c:f>
              <c:strCache>
                <c:ptCount val="1"/>
                <c:pt idx="0">
                  <c:v>NSR WACC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Analysis!$D$214:$H$214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Analysis!$D$217:$H$217</c:f>
              <c:numCache>
                <c:formatCode>0.0%</c:formatCode>
                <c:ptCount val="5"/>
                <c:pt idx="0">
                  <c:v>8.3539999999999989E-2</c:v>
                </c:pt>
                <c:pt idx="1">
                  <c:v>8.3539999999999989E-2</c:v>
                </c:pt>
                <c:pt idx="2">
                  <c:v>8.3539999999999989E-2</c:v>
                </c:pt>
                <c:pt idx="3">
                  <c:v>8.3539999999999989E-2</c:v>
                </c:pt>
                <c:pt idx="4">
                  <c:v>8.3539999999999989E-2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7-404D-AE38-38AA8C1A7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35744"/>
        <c:axId val="227937280"/>
      </c:lineChart>
      <c:catAx>
        <c:axId val="2279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27937280"/>
        <c:crosses val="autoZero"/>
        <c:auto val="1"/>
        <c:lblAlgn val="ctr"/>
        <c:lblOffset val="100"/>
        <c:noMultiLvlLbl val="0"/>
      </c:catAx>
      <c:valAx>
        <c:axId val="2279372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crossAx val="227935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Analysis!$B$39</c:f>
              <c:strCache>
                <c:ptCount val="1"/>
                <c:pt idx="0">
                  <c:v>Voice price, y/y in CHP (RHS)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Analysis!$C$37:$N$37</c:f>
              <c:strCache>
                <c:ptCount val="12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Q4 10</c:v>
                </c:pt>
                <c:pt idx="4">
                  <c:v>Q1 11</c:v>
                </c:pt>
                <c:pt idx="5">
                  <c:v>Q2 11</c:v>
                </c:pt>
                <c:pt idx="6">
                  <c:v>Q3 11</c:v>
                </c:pt>
                <c:pt idx="7">
                  <c:v>Q4 11</c:v>
                </c:pt>
                <c:pt idx="9">
                  <c:v>Q1 12</c:v>
                </c:pt>
                <c:pt idx="10">
                  <c:v>Q2 12</c:v>
                </c:pt>
                <c:pt idx="11">
                  <c:v>Q3 12</c:v>
                </c:pt>
              </c:strCache>
            </c:strRef>
          </c:cat>
          <c:val>
            <c:numRef>
              <c:f>Analysis!$C$39:$N$39</c:f>
              <c:numCache>
                <c:formatCode>0%</c:formatCode>
                <c:ptCount val="12"/>
                <c:pt idx="0">
                  <c:v>-0.21886226485610838</c:v>
                </c:pt>
                <c:pt idx="1">
                  <c:v>-8.5938899224094256E-2</c:v>
                </c:pt>
                <c:pt idx="2">
                  <c:v>-0.13679483897411759</c:v>
                </c:pt>
                <c:pt idx="3">
                  <c:v>-7.2699374024737362E-2</c:v>
                </c:pt>
                <c:pt idx="4">
                  <c:v>-5.7641453242966878E-2</c:v>
                </c:pt>
                <c:pt idx="5">
                  <c:v>-0.12489574440051965</c:v>
                </c:pt>
                <c:pt idx="6">
                  <c:v>-5.8312008302681018E-2</c:v>
                </c:pt>
                <c:pt idx="7">
                  <c:v>-9.1841752432463397E-2</c:v>
                </c:pt>
                <c:pt idx="9">
                  <c:v>-4.5739642270686498E-2</c:v>
                </c:pt>
                <c:pt idx="10">
                  <c:v>-5.6048327223485628E-2</c:v>
                </c:pt>
                <c:pt idx="11">
                  <c:v>-5.0998566637725951E-2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C-4465-ABB6-53EFC3267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326400"/>
        <c:axId val="228324480"/>
      </c:barChart>
      <c:lineChart>
        <c:grouping val="standard"/>
        <c:varyColors val="0"/>
        <c:ser>
          <c:idx val="0"/>
          <c:order val="0"/>
          <c:tx>
            <c:strRef>
              <c:f>Analysis!$B$38</c:f>
              <c:strCache>
                <c:ptCount val="1"/>
                <c:pt idx="0">
                  <c:v>Voice price, US$ (re-based to Q3 12)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ysDash"/>
            </a:ln>
            <a:effectLst/>
          </c:spPr>
          <c:marker>
            <c:symbol val="none"/>
          </c:marker>
          <c:cat>
            <c:strRef>
              <c:f>Analysis!$C$37:$N$37</c:f>
              <c:strCache>
                <c:ptCount val="12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Q4 10</c:v>
                </c:pt>
                <c:pt idx="4">
                  <c:v>Q1 11</c:v>
                </c:pt>
                <c:pt idx="5">
                  <c:v>Q2 11</c:v>
                </c:pt>
                <c:pt idx="6">
                  <c:v>Q3 11</c:v>
                </c:pt>
                <c:pt idx="7">
                  <c:v>Q4 11</c:v>
                </c:pt>
                <c:pt idx="9">
                  <c:v>Q1 12</c:v>
                </c:pt>
                <c:pt idx="10">
                  <c:v>Q2 12</c:v>
                </c:pt>
                <c:pt idx="11">
                  <c:v>Q3 12</c:v>
                </c:pt>
              </c:strCache>
            </c:strRef>
          </c:cat>
          <c:val>
            <c:numRef>
              <c:f>Analysis!$C$38:$N$38</c:f>
              <c:numCache>
                <c:formatCode>0.0</c:formatCode>
                <c:ptCount val="12"/>
                <c:pt idx="0">
                  <c:v>12.385717656470883</c:v>
                </c:pt>
                <c:pt idx="1">
                  <c:v>12.88384613689151</c:v>
                </c:pt>
                <c:pt idx="2">
                  <c:v>11.748602234949965</c:v>
                </c:pt>
                <c:pt idx="3">
                  <c:v>12.014392639350483</c:v>
                </c:pt>
                <c:pt idx="4">
                  <c:v>11.671786891294829</c:v>
                </c:pt>
                <c:pt idx="5">
                  <c:v>11.274708582882687</c:v>
                </c:pt>
                <c:pt idx="6">
                  <c:v>11.063517643880669</c:v>
                </c:pt>
                <c:pt idx="7">
                  <c:v>10.910969764940848</c:v>
                </c:pt>
                <c:pt idx="9">
                  <c:v>11.137923534227319</c:v>
                </c:pt>
                <c:pt idx="10">
                  <c:v>10.642780026879837</c:v>
                </c:pt>
                <c:pt idx="11">
                  <c:v>10.499294102071564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C-4465-ABB6-53EFC3267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95488"/>
        <c:axId val="228097024"/>
      </c:lineChart>
      <c:catAx>
        <c:axId val="228095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8097024"/>
        <c:crosses val="autoZero"/>
        <c:auto val="1"/>
        <c:lblAlgn val="ctr"/>
        <c:lblOffset val="100"/>
        <c:noMultiLvlLbl val="0"/>
      </c:catAx>
      <c:valAx>
        <c:axId val="2280970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US$ voice yield per minute (re-based to Q2 12)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28095488"/>
        <c:crosses val="autoZero"/>
        <c:crossBetween val="between"/>
      </c:valAx>
      <c:valAx>
        <c:axId val="2283244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y/y voice price 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28326400"/>
        <c:crosses val="max"/>
        <c:crossBetween val="between"/>
      </c:valAx>
      <c:catAx>
        <c:axId val="22832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83244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Analysis!$B$40</c:f>
              <c:strCache>
                <c:ptCount val="1"/>
                <c:pt idx="0">
                  <c:v>Minutes growth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  <a:effectLst/>
          </c:spPr>
          <c:invertIfNegative val="0"/>
          <c:cat>
            <c:strRef>
              <c:f>Analysis!$C$37:$N$37</c:f>
              <c:strCache>
                <c:ptCount val="12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Q4 10</c:v>
                </c:pt>
                <c:pt idx="4">
                  <c:v>Q1 11</c:v>
                </c:pt>
                <c:pt idx="5">
                  <c:v>Q2 11</c:v>
                </c:pt>
                <c:pt idx="6">
                  <c:v>Q3 11</c:v>
                </c:pt>
                <c:pt idx="7">
                  <c:v>Q4 11</c:v>
                </c:pt>
                <c:pt idx="9">
                  <c:v>Q1 12</c:v>
                </c:pt>
                <c:pt idx="10">
                  <c:v>Q2 12</c:v>
                </c:pt>
                <c:pt idx="11">
                  <c:v>Q3 12</c:v>
                </c:pt>
              </c:strCache>
            </c:strRef>
          </c:cat>
          <c:val>
            <c:numRef>
              <c:f>Analysis!$C$40:$N$40</c:f>
              <c:numCache>
                <c:formatCode>0%</c:formatCode>
                <c:ptCount val="12"/>
                <c:pt idx="0">
                  <c:v>0.23431274017144554</c:v>
                </c:pt>
                <c:pt idx="1">
                  <c:v>0.23003326232387789</c:v>
                </c:pt>
                <c:pt idx="2">
                  <c:v>0.27152705363845309</c:v>
                </c:pt>
                <c:pt idx="3">
                  <c:v>0.23958544891549738</c:v>
                </c:pt>
                <c:pt idx="4">
                  <c:v>0.19238303701433068</c:v>
                </c:pt>
                <c:pt idx="5">
                  <c:v>0.23575467594606359</c:v>
                </c:pt>
                <c:pt idx="6">
                  <c:v>0.18246787877369086</c:v>
                </c:pt>
                <c:pt idx="7">
                  <c:v>0.1983340377738414</c:v>
                </c:pt>
                <c:pt idx="9">
                  <c:v>0.21035473584775533</c:v>
                </c:pt>
                <c:pt idx="10">
                  <c:v>0.21516864401515634</c:v>
                </c:pt>
                <c:pt idx="11">
                  <c:v>0.1886256830195403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9-4FC1-85E7-F8F50403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912128"/>
        <c:axId val="228913920"/>
      </c:barChart>
      <c:catAx>
        <c:axId val="2289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8913920"/>
        <c:crosses val="autoZero"/>
        <c:auto val="1"/>
        <c:lblAlgn val="ctr"/>
        <c:lblOffset val="100"/>
        <c:noMultiLvlLbl val="0"/>
      </c:catAx>
      <c:valAx>
        <c:axId val="2289139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y/y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228912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3399"/>
              </a:solidFill>
              <a:prstDash val="solid"/>
            </a:ln>
            <a:effectLst/>
          </c:spPr>
          <c:marker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Pt>
            <c:idx val="3"/>
            <c:marker>
              <c:spPr>
                <a:solidFill>
                  <a:srgbClr val="FF0000"/>
                </a:solidFill>
                <a:ln>
                  <a:solidFill>
                    <a:srgbClr val="333399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72A-4714-B96B-F89C1A3BA3FE}"/>
              </c:ext>
            </c:extLst>
          </c:dPt>
          <c:dPt>
            <c:idx val="7"/>
            <c:marker>
              <c:spPr>
                <a:solidFill>
                  <a:srgbClr val="FF0000"/>
                </a:solidFill>
                <a:ln>
                  <a:solidFill>
                    <a:srgbClr val="333399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72A-4714-B96B-F89C1A3BA3FE}"/>
              </c:ext>
            </c:extLst>
          </c:dPt>
          <c:cat>
            <c:strRef>
              <c:f>Analysis!$C$456:$J$456</c:f>
              <c:strCache>
                <c:ptCount val="8"/>
                <c:pt idx="0">
                  <c:v>Q1 11</c:v>
                </c:pt>
                <c:pt idx="1">
                  <c:v>Q2 11</c:v>
                </c:pt>
                <c:pt idx="2">
                  <c:v>Q3 11</c:v>
                </c:pt>
                <c:pt idx="3">
                  <c:v>Q4 11</c:v>
                </c:pt>
                <c:pt idx="4">
                  <c:v>Q1 12</c:v>
                </c:pt>
                <c:pt idx="5">
                  <c:v>Q2 12</c:v>
                </c:pt>
                <c:pt idx="6">
                  <c:v>Q3 12</c:v>
                </c:pt>
                <c:pt idx="7">
                  <c:v>Q4 12</c:v>
                </c:pt>
              </c:strCache>
            </c:strRef>
          </c:cat>
          <c:val>
            <c:numRef>
              <c:f>Analysis!$C$457:$J$457</c:f>
              <c:numCache>
                <c:formatCode>0%</c:formatCode>
                <c:ptCount val="8"/>
                <c:pt idx="0">
                  <c:v>0.15335809043531445</c:v>
                </c:pt>
                <c:pt idx="1">
                  <c:v>0.13042386632340652</c:v>
                </c:pt>
                <c:pt idx="2">
                  <c:v>0.15050214831824338</c:v>
                </c:pt>
                <c:pt idx="3">
                  <c:v>0.12245751877077571</c:v>
                </c:pt>
                <c:pt idx="4">
                  <c:v>0.15678007881163736</c:v>
                </c:pt>
                <c:pt idx="5">
                  <c:v>0.1657279625534962</c:v>
                </c:pt>
                <c:pt idx="6">
                  <c:v>0.15029466349754173</c:v>
                </c:pt>
                <c:pt idx="7">
                  <c:v>0.1189110349132716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A-4714-B96B-F89C1A3BA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62912"/>
        <c:axId val="229068800"/>
      </c:lineChart>
      <c:catAx>
        <c:axId val="22906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9068800"/>
        <c:crosses val="autoZero"/>
        <c:auto val="1"/>
        <c:lblAlgn val="ctr"/>
        <c:lblOffset val="100"/>
        <c:noMultiLvlLbl val="0"/>
      </c:catAx>
      <c:valAx>
        <c:axId val="2290688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crossAx val="229062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3399"/>
              </a:solidFill>
              <a:prstDash val="solid"/>
            </a:ln>
            <a:effectLst/>
          </c:spPr>
          <c:dPt>
            <c:idx val="3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459-48C3-A8A4-63C954E38EC7}"/>
              </c:ext>
            </c:extLst>
          </c:dPt>
          <c:dPt>
            <c:idx val="7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459-48C3-A8A4-63C954E38EC7}"/>
              </c:ext>
            </c:extLst>
          </c:dPt>
          <c:cat>
            <c:strRef>
              <c:f>Analysis!$C$456:$J$456</c:f>
              <c:strCache>
                <c:ptCount val="8"/>
                <c:pt idx="0">
                  <c:v>Q1 11</c:v>
                </c:pt>
                <c:pt idx="1">
                  <c:v>Q2 11</c:v>
                </c:pt>
                <c:pt idx="2">
                  <c:v>Q3 11</c:v>
                </c:pt>
                <c:pt idx="3">
                  <c:v>Q4 11</c:v>
                </c:pt>
                <c:pt idx="4">
                  <c:v>Q1 12</c:v>
                </c:pt>
                <c:pt idx="5">
                  <c:v>Q2 12</c:v>
                </c:pt>
                <c:pt idx="6">
                  <c:v>Q3 12</c:v>
                </c:pt>
                <c:pt idx="7">
                  <c:v>Q4 12</c:v>
                </c:pt>
              </c:strCache>
            </c:strRef>
          </c:cat>
          <c:val>
            <c:numRef>
              <c:f>Analysis!$C$458:$J$458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59-48C3-A8A4-63C954E38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16096"/>
        <c:axId val="229317632"/>
      </c:lineChart>
      <c:catAx>
        <c:axId val="229316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9317632"/>
        <c:crosses val="autoZero"/>
        <c:auto val="1"/>
        <c:lblAlgn val="ctr"/>
        <c:lblOffset val="100"/>
        <c:noMultiLvlLbl val="0"/>
      </c:catAx>
      <c:valAx>
        <c:axId val="229317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crossAx val="22931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wdDnDiag">
                <a:fgClr>
                  <a:srgbClr val="000080"/>
                </a:fgClr>
                <a:bgClr>
                  <a:srgbClr val="000080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CC-44E1-87D9-682F510205E6}"/>
              </c:ext>
            </c:extLst>
          </c:dPt>
          <c:dPt>
            <c:idx val="1"/>
            <c:bubble3D val="0"/>
            <c:spPr>
              <a:pattFill prst="wdDnDiag">
                <a:fgClr>
                  <a:srgbClr val="9999FF"/>
                </a:fgClr>
                <a:bgClr>
                  <a:srgbClr val="9999FF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CC-44E1-87D9-682F510205E6}"/>
              </c:ext>
            </c:extLst>
          </c:dPt>
          <c:dPt>
            <c:idx val="2"/>
            <c:bubble3D val="0"/>
            <c:spPr>
              <a:pattFill prst="wdDnDiag">
                <a:fgClr>
                  <a:srgbClr val="3366FF"/>
                </a:fgClr>
                <a:bgClr>
                  <a:srgbClr val="3366FF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CC-44E1-87D9-682F510205E6}"/>
              </c:ext>
            </c:extLst>
          </c:dPt>
          <c:dPt>
            <c:idx val="3"/>
            <c:bubble3D val="0"/>
            <c:spPr>
              <a:pattFill prst="wdDnDiag">
                <a:fgClr>
                  <a:srgbClr val="CCCCFF"/>
                </a:fgClr>
                <a:bgClr>
                  <a:srgbClr val="CCCCFF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CC-44E1-87D9-682F510205E6}"/>
              </c:ext>
            </c:extLst>
          </c:dPt>
          <c:dPt>
            <c:idx val="4"/>
            <c:bubble3D val="0"/>
            <c:spPr>
              <a:pattFill prst="wdDnDiag">
                <a:fgClr>
                  <a:srgbClr val="969696"/>
                </a:fgClr>
                <a:bgClr>
                  <a:srgbClr val="969696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CC-44E1-87D9-682F510205E6}"/>
              </c:ext>
            </c:extLst>
          </c:dPt>
          <c:dPt>
            <c:idx val="5"/>
            <c:bubble3D val="0"/>
            <c:spPr>
              <a:pattFill prst="wdDnDiag">
                <a:fgClr>
                  <a:srgbClr val="C0C0C0"/>
                </a:fgClr>
                <a:bgClr>
                  <a:srgbClr val="C0C0C0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7CC-44E1-87D9-682F510205E6}"/>
              </c:ext>
            </c:extLst>
          </c:dPt>
          <c:dPt>
            <c:idx val="6"/>
            <c:bubble3D val="0"/>
            <c:spPr>
              <a:pattFill prst="wdDnDiag">
                <a:fgClr>
                  <a:srgbClr val="0000FF"/>
                </a:fgClr>
                <a:bgClr>
                  <a:srgbClr val="0000FF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CC-44E1-87D9-682F510205E6}"/>
              </c:ext>
            </c:extLst>
          </c:dPt>
          <c:dLbls>
            <c:dLbl>
              <c:idx val="0"/>
              <c:layout>
                <c:manualLayout>
                  <c:x val="2.7287727065673204E-4"/>
                  <c:y val="0.152862164490071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CC-44E1-87D9-682F510205E6}"/>
                </c:ext>
              </c:extLst>
            </c:dLbl>
            <c:dLbl>
              <c:idx val="6"/>
              <c:layout>
                <c:manualLayout>
                  <c:x val="8.9524675702418691E-2"/>
                  <c:y val="-7.853137375101199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CC-44E1-87D9-682F510205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Analysis!$B$359:$B$365</c:f>
              <c:strCache>
                <c:ptCount val="7"/>
                <c:pt idx="0">
                  <c:v>TEF</c:v>
                </c:pt>
                <c:pt idx="1">
                  <c:v>Liberty Global</c:v>
                </c:pt>
                <c:pt idx="2">
                  <c:v>Claro/Telmex</c:v>
                </c:pt>
                <c:pt idx="3">
                  <c:v>Entel</c:v>
                </c:pt>
                <c:pt idx="4">
                  <c:v>GTD</c:v>
                </c:pt>
                <c:pt idx="5">
                  <c:v>Telesat</c:v>
                </c:pt>
                <c:pt idx="6">
                  <c:v>Others</c:v>
                </c:pt>
              </c:strCache>
            </c:strRef>
          </c:cat>
          <c:val>
            <c:numRef>
              <c:f>Analysis!$I$359:$I$365</c:f>
              <c:numCache>
                <c:formatCode>General</c:formatCode>
                <c:ptCount val="7"/>
                <c:pt idx="0">
                  <c:v>1701</c:v>
                </c:pt>
                <c:pt idx="1">
                  <c:v>701</c:v>
                </c:pt>
                <c:pt idx="2">
                  <c:v>244</c:v>
                </c:pt>
                <c:pt idx="3">
                  <c:v>203</c:v>
                </c:pt>
                <c:pt idx="4">
                  <c:v>88</c:v>
                </c:pt>
                <c:pt idx="5">
                  <c:v>88</c:v>
                </c:pt>
                <c:pt idx="6" formatCode="0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CC-44E1-87D9-682F51020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44181977252849E-2"/>
          <c:y val="6.8307881272394427E-2"/>
          <c:w val="0.89490026246719179"/>
          <c:h val="0.71669198773156995"/>
        </c:manualLayout>
      </c:layout>
      <c:lineChart>
        <c:grouping val="standard"/>
        <c:varyColors val="0"/>
        <c:ser>
          <c:idx val="0"/>
          <c:order val="0"/>
          <c:tx>
            <c:strRef>
              <c:f>Analysis!$B$827</c:f>
              <c:strCache>
                <c:ptCount val="1"/>
                <c:pt idx="0">
                  <c:v>Claro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Analysis!$C$826:$L$826</c:f>
              <c:strCache>
                <c:ptCount val="10"/>
                <c:pt idx="0">
                  <c:v>Q1 13</c:v>
                </c:pt>
                <c:pt idx="1">
                  <c:v>Q2 13</c:v>
                </c:pt>
                <c:pt idx="2">
                  <c:v>Q3 13</c:v>
                </c:pt>
                <c:pt idx="3">
                  <c:v>Q4 13</c:v>
                </c:pt>
                <c:pt idx="4">
                  <c:v>Q1 14</c:v>
                </c:pt>
                <c:pt idx="5">
                  <c:v>Q2 14</c:v>
                </c:pt>
                <c:pt idx="6">
                  <c:v>Q3 14</c:v>
                </c:pt>
                <c:pt idx="7">
                  <c:v>Q4 14</c:v>
                </c:pt>
                <c:pt idx="8">
                  <c:v>Q1 15</c:v>
                </c:pt>
                <c:pt idx="9">
                  <c:v>Q2 15</c:v>
                </c:pt>
              </c:strCache>
            </c:strRef>
          </c:cat>
          <c:val>
            <c:numRef>
              <c:f>Analysis!$C$827:$L$827</c:f>
              <c:numCache>
                <c:formatCode>0%</c:formatCode>
                <c:ptCount val="10"/>
                <c:pt idx="0">
                  <c:v>0.42068361086765993</c:v>
                </c:pt>
                <c:pt idx="1">
                  <c:v>0.37860780984719866</c:v>
                </c:pt>
                <c:pt idx="2">
                  <c:v>0.3588709677419355</c:v>
                </c:pt>
                <c:pt idx="3">
                  <c:v>0.36042944785276071</c:v>
                </c:pt>
                <c:pt idx="4">
                  <c:v>0.38072669826224331</c:v>
                </c:pt>
                <c:pt idx="5">
                  <c:v>0.38139534883720932</c:v>
                </c:pt>
                <c:pt idx="6">
                  <c:v>0.36261261261261263</c:v>
                </c:pt>
                <c:pt idx="7">
                  <c:v>0.28602461984069516</c:v>
                </c:pt>
                <c:pt idx="8">
                  <c:v>0.29381443298969073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6-4312-9B2F-1D6C3E3718E4}"/>
            </c:ext>
          </c:extLst>
        </c:ser>
        <c:ser>
          <c:idx val="1"/>
          <c:order val="1"/>
          <c:tx>
            <c:strRef>
              <c:f>Analysis!$B$828</c:f>
              <c:strCache>
                <c:ptCount val="1"/>
                <c:pt idx="0">
                  <c:v>TEF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  <a:effectLst/>
          </c:spPr>
          <c:marker>
            <c:symbol val="none"/>
          </c:marker>
          <c:cat>
            <c:strRef>
              <c:f>Analysis!$C$826:$L$826</c:f>
              <c:strCache>
                <c:ptCount val="10"/>
                <c:pt idx="0">
                  <c:v>Q1 13</c:v>
                </c:pt>
                <c:pt idx="1">
                  <c:v>Q2 13</c:v>
                </c:pt>
                <c:pt idx="2">
                  <c:v>Q3 13</c:v>
                </c:pt>
                <c:pt idx="3">
                  <c:v>Q4 13</c:v>
                </c:pt>
                <c:pt idx="4">
                  <c:v>Q1 14</c:v>
                </c:pt>
                <c:pt idx="5">
                  <c:v>Q2 14</c:v>
                </c:pt>
                <c:pt idx="6">
                  <c:v>Q3 14</c:v>
                </c:pt>
                <c:pt idx="7">
                  <c:v>Q4 14</c:v>
                </c:pt>
                <c:pt idx="8">
                  <c:v>Q1 15</c:v>
                </c:pt>
                <c:pt idx="9">
                  <c:v>Q2 15</c:v>
                </c:pt>
              </c:strCache>
            </c:strRef>
          </c:cat>
          <c:val>
            <c:numRef>
              <c:f>Analysis!$C$828:$L$828</c:f>
              <c:numCache>
                <c:formatCode>0%</c:formatCode>
                <c:ptCount val="10"/>
                <c:pt idx="0">
                  <c:v>0.36099999999999999</c:v>
                </c:pt>
                <c:pt idx="1">
                  <c:v>0.33700000000000002</c:v>
                </c:pt>
                <c:pt idx="2">
                  <c:v>0.36599999999999999</c:v>
                </c:pt>
                <c:pt idx="3">
                  <c:v>0.36299999999999999</c:v>
                </c:pt>
                <c:pt idx="4">
                  <c:v>0.37</c:v>
                </c:pt>
                <c:pt idx="5">
                  <c:v>0.34399999999999997</c:v>
                </c:pt>
                <c:pt idx="6">
                  <c:v>0.39700000000000002</c:v>
                </c:pt>
                <c:pt idx="7">
                  <c:v>0.24299999999999999</c:v>
                </c:pt>
                <c:pt idx="8">
                  <c:v>0.34399999999999997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6-4312-9B2F-1D6C3E371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565568"/>
        <c:axId val="229567104"/>
      </c:lineChart>
      <c:catAx>
        <c:axId val="22956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9567104"/>
        <c:crosses val="autoZero"/>
        <c:auto val="1"/>
        <c:lblAlgn val="ctr"/>
        <c:lblOffset val="100"/>
        <c:noMultiLvlLbl val="0"/>
      </c:catAx>
      <c:valAx>
        <c:axId val="2295671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crossAx val="229565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Analysis!$B$833</c:f>
              <c:strCache>
                <c:ptCount val="1"/>
                <c:pt idx="0">
                  <c:v>OpFCF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Analysis!$C$832:$K$832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Analysis!$C$833:$K$833</c:f>
              <c:numCache>
                <c:formatCode>General</c:formatCode>
                <c:ptCount val="9"/>
                <c:pt idx="0">
                  <c:v>161750.80406665889</c:v>
                </c:pt>
                <c:pt idx="1">
                  <c:v>162679.5099624666</c:v>
                </c:pt>
                <c:pt idx="2">
                  <c:v>124622.29396972025</c:v>
                </c:pt>
                <c:pt idx="3">
                  <c:v>259193.92004580377</c:v>
                </c:pt>
                <c:pt idx="4">
                  <c:v>282486.56214225781</c:v>
                </c:pt>
                <c:pt idx="5">
                  <c:v>235244.62241288478</c:v>
                </c:pt>
                <c:pt idx="6">
                  <c:v>153064.94765888958</c:v>
                </c:pt>
                <c:pt idx="7">
                  <c:v>194341.2248532254</c:v>
                </c:pt>
                <c:pt idx="8">
                  <c:v>197689.24948791898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2-490A-B9A2-0E9AA5232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42848"/>
        <c:axId val="229761024"/>
      </c:barChart>
      <c:catAx>
        <c:axId val="2297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9761024"/>
        <c:crosses val="autoZero"/>
        <c:auto val="1"/>
        <c:lblAlgn val="ctr"/>
        <c:lblOffset val="100"/>
        <c:noMultiLvlLbl val="0"/>
      </c:catAx>
      <c:valAx>
        <c:axId val="2297610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CHP m</a:t>
                </a:r>
              </a:p>
            </c:rich>
          </c:tx>
          <c:layout>
            <c:manualLayout>
              <c:xMode val="edge"/>
              <c:yMode val="edge"/>
              <c:x val="1.2698412698412702E-2"/>
              <c:y val="0.3906329096263252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29742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Analysis!$B$834</c:f>
              <c:strCache>
                <c:ptCount val="1"/>
                <c:pt idx="0">
                  <c:v>ROIC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  <a:effectLst/>
          </c:spPr>
          <c:marker>
            <c:symbol val="none"/>
          </c:marker>
          <c:cat>
            <c:numRef>
              <c:f>Analysis!$C$832:$K$832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Analysis!$C$834:$K$834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9-47EB-A607-A1EA868E0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109184"/>
        <c:axId val="230110720"/>
      </c:lineChart>
      <c:catAx>
        <c:axId val="2301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30110720"/>
        <c:crosses val="autoZero"/>
        <c:auto val="1"/>
        <c:lblAlgn val="ctr"/>
        <c:lblOffset val="100"/>
        <c:noMultiLvlLbl val="0"/>
      </c:catAx>
      <c:valAx>
        <c:axId val="2301107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CHP m</a:t>
                </a:r>
              </a:p>
            </c:rich>
          </c:tx>
          <c:layout>
            <c:manualLayout>
              <c:xMode val="edge"/>
              <c:yMode val="edge"/>
              <c:x val="1.2698412698412702E-2"/>
              <c:y val="0.3906329096263252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230109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Interims!$AC$272</c:f>
              <c:strCache>
                <c:ptCount val="1"/>
                <c:pt idx="0">
                  <c:v>2G/3G/4G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Interims!$AD$271:$AP$271</c:f>
              <c:strCache>
                <c:ptCount val="13"/>
                <c:pt idx="0">
                  <c:v>Q4 13</c:v>
                </c:pt>
                <c:pt idx="1">
                  <c:v>Q1 14</c:v>
                </c:pt>
                <c:pt idx="2">
                  <c:v>Q2 14</c:v>
                </c:pt>
                <c:pt idx="3">
                  <c:v>Q3 14</c:v>
                </c:pt>
                <c:pt idx="4">
                  <c:v>Q4 14</c:v>
                </c:pt>
                <c:pt idx="5">
                  <c:v>Q1 15</c:v>
                </c:pt>
                <c:pt idx="6">
                  <c:v>Q2 15</c:v>
                </c:pt>
                <c:pt idx="7">
                  <c:v>Q3 15</c:v>
                </c:pt>
                <c:pt idx="8">
                  <c:v>Q4 15</c:v>
                </c:pt>
                <c:pt idx="9">
                  <c:v>Q1 16</c:v>
                </c:pt>
                <c:pt idx="10">
                  <c:v>Q2 16</c:v>
                </c:pt>
                <c:pt idx="11">
                  <c:v>Q3 16</c:v>
                </c:pt>
                <c:pt idx="12">
                  <c:v>Q4 16</c:v>
                </c:pt>
              </c:strCache>
            </c:strRef>
          </c:cat>
          <c:val>
            <c:numRef>
              <c:f>Interims!$AD$272:$AP$272</c:f>
              <c:numCache>
                <c:formatCode>#,##0</c:formatCode>
                <c:ptCount val="13"/>
                <c:pt idx="0">
                  <c:v>93</c:v>
                </c:pt>
                <c:pt idx="1">
                  <c:v>99</c:v>
                </c:pt>
                <c:pt idx="2">
                  <c:v>186</c:v>
                </c:pt>
                <c:pt idx="3">
                  <c:v>223</c:v>
                </c:pt>
                <c:pt idx="4">
                  <c:v>376</c:v>
                </c:pt>
                <c:pt idx="5">
                  <c:v>301</c:v>
                </c:pt>
                <c:pt idx="6">
                  <c:v>209</c:v>
                </c:pt>
                <c:pt idx="7">
                  <c:v>629</c:v>
                </c:pt>
                <c:pt idx="8">
                  <c:v>656</c:v>
                </c:pt>
                <c:pt idx="9">
                  <c:v>634</c:v>
                </c:pt>
                <c:pt idx="10">
                  <c:v>516</c:v>
                </c:pt>
                <c:pt idx="11">
                  <c:v>340</c:v>
                </c:pt>
                <c:pt idx="12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8-49F6-B747-0DBF8C17C06B}"/>
            </c:ext>
          </c:extLst>
        </c:ser>
        <c:ser>
          <c:idx val="1"/>
          <c:order val="1"/>
          <c:tx>
            <c:strRef>
              <c:f>Interims!$AC$273</c:f>
              <c:strCache>
                <c:ptCount val="1"/>
                <c:pt idx="0">
                  <c:v>iDEN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Interims!$AD$271:$AP$271</c:f>
              <c:strCache>
                <c:ptCount val="13"/>
                <c:pt idx="0">
                  <c:v>Q4 13</c:v>
                </c:pt>
                <c:pt idx="1">
                  <c:v>Q1 14</c:v>
                </c:pt>
                <c:pt idx="2">
                  <c:v>Q2 14</c:v>
                </c:pt>
                <c:pt idx="3">
                  <c:v>Q3 14</c:v>
                </c:pt>
                <c:pt idx="4">
                  <c:v>Q4 14</c:v>
                </c:pt>
                <c:pt idx="5">
                  <c:v>Q1 15</c:v>
                </c:pt>
                <c:pt idx="6">
                  <c:v>Q2 15</c:v>
                </c:pt>
                <c:pt idx="7">
                  <c:v>Q3 15</c:v>
                </c:pt>
                <c:pt idx="8">
                  <c:v>Q4 15</c:v>
                </c:pt>
                <c:pt idx="9">
                  <c:v>Q1 16</c:v>
                </c:pt>
                <c:pt idx="10">
                  <c:v>Q2 16</c:v>
                </c:pt>
                <c:pt idx="11">
                  <c:v>Q3 16</c:v>
                </c:pt>
                <c:pt idx="12">
                  <c:v>Q4 16</c:v>
                </c:pt>
              </c:strCache>
            </c:strRef>
          </c:cat>
          <c:val>
            <c:numRef>
              <c:f>Interims!$AD$273:$AP$273</c:f>
              <c:numCache>
                <c:formatCode>#,##0</c:formatCode>
                <c:ptCount val="13"/>
                <c:pt idx="0">
                  <c:v>-73</c:v>
                </c:pt>
                <c:pt idx="1">
                  <c:v>-68</c:v>
                </c:pt>
                <c:pt idx="2">
                  <c:v>-67</c:v>
                </c:pt>
                <c:pt idx="3">
                  <c:v>-68</c:v>
                </c:pt>
                <c:pt idx="4">
                  <c:v>-96</c:v>
                </c:pt>
                <c:pt idx="5">
                  <c:v>-79</c:v>
                </c:pt>
                <c:pt idx="6">
                  <c:v>-175</c:v>
                </c:pt>
                <c:pt idx="7">
                  <c:v>-100</c:v>
                </c:pt>
                <c:pt idx="8">
                  <c:v>-66</c:v>
                </c:pt>
                <c:pt idx="9">
                  <c:v>-71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8-49F6-B747-0DBF8C17C06B}"/>
            </c:ext>
          </c:extLst>
        </c:ser>
        <c:ser>
          <c:idx val="2"/>
          <c:order val="2"/>
          <c:tx>
            <c:strRef>
              <c:f>Interims!$AC$274</c:f>
              <c:strCache>
                <c:ptCount val="1"/>
                <c:pt idx="0">
                  <c:v>3G PTT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Interims!$AD$271:$AP$271</c:f>
              <c:strCache>
                <c:ptCount val="13"/>
                <c:pt idx="0">
                  <c:v>Q4 13</c:v>
                </c:pt>
                <c:pt idx="1">
                  <c:v>Q1 14</c:v>
                </c:pt>
                <c:pt idx="2">
                  <c:v>Q2 14</c:v>
                </c:pt>
                <c:pt idx="3">
                  <c:v>Q3 14</c:v>
                </c:pt>
                <c:pt idx="4">
                  <c:v>Q4 14</c:v>
                </c:pt>
                <c:pt idx="5">
                  <c:v>Q1 15</c:v>
                </c:pt>
                <c:pt idx="6">
                  <c:v>Q2 15</c:v>
                </c:pt>
                <c:pt idx="7">
                  <c:v>Q3 15</c:v>
                </c:pt>
                <c:pt idx="8">
                  <c:v>Q4 15</c:v>
                </c:pt>
                <c:pt idx="9">
                  <c:v>Q1 16</c:v>
                </c:pt>
                <c:pt idx="10">
                  <c:v>Q2 16</c:v>
                </c:pt>
                <c:pt idx="11">
                  <c:v>Q3 16</c:v>
                </c:pt>
                <c:pt idx="12">
                  <c:v>Q4 16</c:v>
                </c:pt>
              </c:strCache>
            </c:strRef>
          </c:cat>
          <c:val>
            <c:numRef>
              <c:f>Interims!$AD$274:$AP$274</c:f>
              <c:numCache>
                <c:formatCode>#,##0</c:formatCode>
                <c:ptCount val="13"/>
                <c:pt idx="0">
                  <c:v>-29</c:v>
                </c:pt>
                <c:pt idx="1">
                  <c:v>-31</c:v>
                </c:pt>
                <c:pt idx="2">
                  <c:v>-25</c:v>
                </c:pt>
                <c:pt idx="3">
                  <c:v>-42</c:v>
                </c:pt>
                <c:pt idx="4">
                  <c:v>-19</c:v>
                </c:pt>
                <c:pt idx="5">
                  <c:v>-10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18-49F6-B747-0DBF8C17C06B}"/>
            </c:ext>
          </c:extLst>
        </c:ser>
        <c:ser>
          <c:idx val="3"/>
          <c:order val="3"/>
          <c:tx>
            <c:strRef>
              <c:f>Interims!$AC$275</c:f>
              <c:strCache>
                <c:ptCount val="1"/>
                <c:pt idx="0">
                  <c:v>Mobile broadband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strRef>
              <c:f>Interims!$AD$271:$AP$271</c:f>
              <c:strCache>
                <c:ptCount val="13"/>
                <c:pt idx="0">
                  <c:v>Q4 13</c:v>
                </c:pt>
                <c:pt idx="1">
                  <c:v>Q1 14</c:v>
                </c:pt>
                <c:pt idx="2">
                  <c:v>Q2 14</c:v>
                </c:pt>
                <c:pt idx="3">
                  <c:v>Q3 14</c:v>
                </c:pt>
                <c:pt idx="4">
                  <c:v>Q4 14</c:v>
                </c:pt>
                <c:pt idx="5">
                  <c:v>Q1 15</c:v>
                </c:pt>
                <c:pt idx="6">
                  <c:v>Q2 15</c:v>
                </c:pt>
                <c:pt idx="7">
                  <c:v>Q3 15</c:v>
                </c:pt>
                <c:pt idx="8">
                  <c:v>Q4 15</c:v>
                </c:pt>
                <c:pt idx="9">
                  <c:v>Q1 16</c:v>
                </c:pt>
                <c:pt idx="10">
                  <c:v>Q2 16</c:v>
                </c:pt>
                <c:pt idx="11">
                  <c:v>Q3 16</c:v>
                </c:pt>
                <c:pt idx="12">
                  <c:v>Q4 16</c:v>
                </c:pt>
              </c:strCache>
            </c:strRef>
          </c:cat>
          <c:val>
            <c:numRef>
              <c:f>Interims!$AD$275:$AP$275</c:f>
              <c:numCache>
                <c:formatCode>#,##0</c:formatCode>
                <c:ptCount val="13"/>
                <c:pt idx="0">
                  <c:v>-3</c:v>
                </c:pt>
                <c:pt idx="1">
                  <c:v>-63</c:v>
                </c:pt>
                <c:pt idx="2">
                  <c:v>-136</c:v>
                </c:pt>
                <c:pt idx="3">
                  <c:v>-84</c:v>
                </c:pt>
                <c:pt idx="4">
                  <c:v>-3</c:v>
                </c:pt>
                <c:pt idx="5">
                  <c:v>9</c:v>
                </c:pt>
                <c:pt idx="6">
                  <c:v>12</c:v>
                </c:pt>
                <c:pt idx="7">
                  <c:v>14</c:v>
                </c:pt>
                <c:pt idx="8">
                  <c:v>-5</c:v>
                </c:pt>
                <c:pt idx="9">
                  <c:v>-4</c:v>
                </c:pt>
                <c:pt idx="10">
                  <c:v>15</c:v>
                </c:pt>
                <c:pt idx="11">
                  <c:v>15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18-49F6-B747-0DBF8C17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453696"/>
        <c:axId val="131455232"/>
      </c:barChart>
      <c:catAx>
        <c:axId val="13145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31455232"/>
        <c:crosses val="autoZero"/>
        <c:auto val="1"/>
        <c:lblAlgn val="ctr"/>
        <c:lblOffset val="100"/>
        <c:noMultiLvlLbl val="0"/>
      </c:catAx>
      <c:valAx>
        <c:axId val="1314552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adds, 000s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31453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17259206235584"/>
          <c:y val="5.0925925925925923E-2"/>
          <c:w val="0.51929117951165205"/>
          <c:h val="0.5950211431904346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attFill prst="wdDnDiag">
                <a:fgClr>
                  <a:srgbClr val="000080"/>
                </a:fgClr>
                <a:bgClr>
                  <a:srgbClr val="000080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93-4CCD-A291-1E5EE30B062C}"/>
              </c:ext>
            </c:extLst>
          </c:dPt>
          <c:dPt>
            <c:idx val="1"/>
            <c:bubble3D val="0"/>
            <c:spPr>
              <a:pattFill prst="wdDnDiag">
                <a:fgClr>
                  <a:srgbClr val="9999FF"/>
                </a:fgClr>
                <a:bgClr>
                  <a:srgbClr val="9999FF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93-4CCD-A291-1E5EE30B062C}"/>
              </c:ext>
            </c:extLst>
          </c:dPt>
          <c:dPt>
            <c:idx val="2"/>
            <c:bubble3D val="0"/>
            <c:spPr>
              <a:pattFill prst="wdDnDiag">
                <a:fgClr>
                  <a:srgbClr val="3366FF"/>
                </a:fgClr>
                <a:bgClr>
                  <a:srgbClr val="3366FF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93-4CCD-A291-1E5EE30B062C}"/>
              </c:ext>
            </c:extLst>
          </c:dPt>
          <c:dPt>
            <c:idx val="3"/>
            <c:bubble3D val="0"/>
            <c:spPr>
              <a:pattFill prst="wdDnDiag">
                <a:fgClr>
                  <a:srgbClr val="CCCCFF"/>
                </a:fgClr>
                <a:bgClr>
                  <a:srgbClr val="CCCCFF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93-4CCD-A291-1E5EE30B062C}"/>
              </c:ext>
            </c:extLst>
          </c:dPt>
          <c:dPt>
            <c:idx val="4"/>
            <c:bubble3D val="0"/>
            <c:spPr>
              <a:pattFill prst="wdDnDiag">
                <a:fgClr>
                  <a:srgbClr val="969696"/>
                </a:fgClr>
                <a:bgClr>
                  <a:srgbClr val="969696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93-4CCD-A291-1E5EE30B062C}"/>
              </c:ext>
            </c:extLst>
          </c:dPt>
          <c:dPt>
            <c:idx val="5"/>
            <c:bubble3D val="0"/>
            <c:spPr>
              <a:pattFill prst="wdDnDiag">
                <a:fgClr>
                  <a:srgbClr val="C0C0C0"/>
                </a:fgClr>
                <a:bgClr>
                  <a:srgbClr val="C0C0C0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93-4CCD-A291-1E5EE30B062C}"/>
              </c:ext>
            </c:extLst>
          </c:dPt>
          <c:dPt>
            <c:idx val="6"/>
            <c:bubble3D val="0"/>
            <c:spPr>
              <a:pattFill prst="wdDnDiag">
                <a:fgClr>
                  <a:srgbClr val="0000FF"/>
                </a:fgClr>
                <a:bgClr>
                  <a:srgbClr val="0000FF"/>
                </a:bgClr>
              </a:patt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93-4CCD-A291-1E5EE30B062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Analysis!$D$862:$J$862</c:f>
              <c:strCache>
                <c:ptCount val="7"/>
                <c:pt idx="0">
                  <c:v>ADSL</c:v>
                </c:pt>
                <c:pt idx="1">
                  <c:v>Cable</c:v>
                </c:pt>
                <c:pt idx="2">
                  <c:v>Wimax </c:v>
                </c:pt>
                <c:pt idx="3">
                  <c:v>FTTH</c:v>
                </c:pt>
                <c:pt idx="4">
                  <c:v>Other wired </c:v>
                </c:pt>
                <c:pt idx="5">
                  <c:v>Other wireless </c:v>
                </c:pt>
                <c:pt idx="6">
                  <c:v>other</c:v>
                </c:pt>
              </c:strCache>
            </c:strRef>
          </c:cat>
          <c:val>
            <c:numRef>
              <c:f>Analysis!$D$863:$J$863</c:f>
              <c:numCache>
                <c:formatCode>0.0%</c:formatCode>
                <c:ptCount val="7"/>
                <c:pt idx="0">
                  <c:v>0.39278442685205683</c:v>
                </c:pt>
                <c:pt idx="1">
                  <c:v>0.50604791557322615</c:v>
                </c:pt>
                <c:pt idx="2">
                  <c:v>2.0051515224993881E-3</c:v>
                </c:pt>
                <c:pt idx="3">
                  <c:v>4.4669081556908054E-2</c:v>
                </c:pt>
                <c:pt idx="4">
                  <c:v>4.8154142063440541E-2</c:v>
                </c:pt>
                <c:pt idx="5">
                  <c:v>6.155467098228568E-3</c:v>
                </c:pt>
                <c:pt idx="6">
                  <c:v>1.8381533364047442E-4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93-4CCD-A291-1E5EE30B0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8066491688539"/>
          <c:y val="0.74779892096821243"/>
          <c:w val="0.81927559055118104"/>
          <c:h val="0.22442330125400992"/>
        </c:manualLayout>
      </c:layout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Analysis!$B$886:$B$891</c:f>
              <c:strCache>
                <c:ptCount val="6"/>
                <c:pt idx="0">
                  <c:v>&lt;512 kbps</c:v>
                </c:pt>
                <c:pt idx="1">
                  <c:v>512 kbps to 1 Mbps</c:v>
                </c:pt>
                <c:pt idx="2">
                  <c:v>1-2 Mbps</c:v>
                </c:pt>
                <c:pt idx="3">
                  <c:v>2-5 Mbps</c:v>
                </c:pt>
                <c:pt idx="4">
                  <c:v>5-10 Mbps</c:v>
                </c:pt>
                <c:pt idx="5">
                  <c:v>10-100 Mbps</c:v>
                </c:pt>
              </c:strCache>
            </c:strRef>
          </c:cat>
          <c:val>
            <c:numRef>
              <c:f>Analysis!$C$886:$C$891</c:f>
              <c:numCache>
                <c:formatCode>0.0%</c:formatCode>
                <c:ptCount val="6"/>
                <c:pt idx="0">
                  <c:v>8.9999999999999993E-3</c:v>
                </c:pt>
                <c:pt idx="1">
                  <c:v>3.6689540594638692E-2</c:v>
                </c:pt>
                <c:pt idx="2">
                  <c:v>0.13762879783989607</c:v>
                </c:pt>
                <c:pt idx="3">
                  <c:v>0.19014053659997951</c:v>
                </c:pt>
                <c:pt idx="4">
                  <c:v>0.27684779386400948</c:v>
                </c:pt>
                <c:pt idx="5">
                  <c:v>0.34888854298580241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4-4229-A1CE-B799B33C3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368768"/>
        <c:axId val="230370304"/>
      </c:barChart>
      <c:catAx>
        <c:axId val="23036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0370304"/>
        <c:crosses val="autoZero"/>
        <c:auto val="1"/>
        <c:lblAlgn val="ctr"/>
        <c:lblOffset val="100"/>
        <c:noMultiLvlLbl val="0"/>
      </c:catAx>
      <c:valAx>
        <c:axId val="2303703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crossAx val="230368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Analysis!$B$902:$B$905</c:f>
              <c:strCache>
                <c:ptCount val="4"/>
                <c:pt idx="0">
                  <c:v>&lt;512 kbps</c:v>
                </c:pt>
                <c:pt idx="1">
                  <c:v>512 kbps to 2 Mbps</c:v>
                </c:pt>
                <c:pt idx="2">
                  <c:v>2-12 Mbps</c:v>
                </c:pt>
                <c:pt idx="3">
                  <c:v>12-34 Mbps</c:v>
                </c:pt>
              </c:strCache>
            </c:strRef>
          </c:cat>
          <c:val>
            <c:numRef>
              <c:f>Analysis!$C$902:$C$905</c:f>
              <c:numCache>
                <c:formatCode>0.0%</c:formatCode>
                <c:ptCount val="4"/>
                <c:pt idx="0">
                  <c:v>4.9819171847697998E-2</c:v>
                </c:pt>
                <c:pt idx="1">
                  <c:v>0.28778089316916577</c:v>
                </c:pt>
                <c:pt idx="2">
                  <c:v>0.46877158763054166</c:v>
                </c:pt>
                <c:pt idx="3">
                  <c:v>0.19362834735259457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D-4964-9B85-91F766E93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624256"/>
        <c:axId val="230834944"/>
      </c:barChart>
      <c:catAx>
        <c:axId val="230624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0834944"/>
        <c:crosses val="autoZero"/>
        <c:auto val="1"/>
        <c:lblAlgn val="ctr"/>
        <c:lblOffset val="100"/>
        <c:noMultiLvlLbl val="0"/>
      </c:catAx>
      <c:valAx>
        <c:axId val="2308349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crossAx val="230624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37401765009865"/>
          <c:y val="4.5682168519786556E-2"/>
          <c:w val="0.8079559499295289"/>
          <c:h val="0.779555927849444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Analysis!$B$1018</c:f>
              <c:strCache>
                <c:ptCount val="1"/>
                <c:pt idx="0">
                  <c:v>Nextel acquisition cost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  <a:effectLst/>
          </c:spPr>
          <c:invertIfNegative val="0"/>
          <c:cat>
            <c:numRef>
              <c:f>Analysis!$C$1017:$M$1017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Analysis!$C$1018:$M$1018</c:f>
              <c:numCache>
                <c:formatCode>#,##0</c:formatCode>
                <c:ptCount val="11"/>
                <c:pt idx="0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E-461B-A9F6-E0D4B18D6965}"/>
            </c:ext>
          </c:extLst>
        </c:ser>
        <c:ser>
          <c:idx val="1"/>
          <c:order val="1"/>
          <c:tx>
            <c:strRef>
              <c:f>Analysis!$B$1019</c:f>
              <c:strCache>
                <c:ptCount val="1"/>
                <c:pt idx="0">
                  <c:v>40 MHz of AWS MHz spectrum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  <a:effectLst/>
          </c:spPr>
          <c:invertIfNegative val="0"/>
          <c:cat>
            <c:numRef>
              <c:f>Analysis!$C$1017:$M$1017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Analysis!$C$1019:$M$1019</c:f>
              <c:numCache>
                <c:formatCode>#,##0</c:formatCode>
                <c:ptCount val="1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E-461B-A9F6-E0D4B18D6965}"/>
            </c:ext>
          </c:extLst>
        </c:ser>
        <c:ser>
          <c:idx val="2"/>
          <c:order val="2"/>
          <c:tx>
            <c:strRef>
              <c:f>Analysis!$B$1020</c:f>
              <c:strCache>
                <c:ptCount val="1"/>
                <c:pt idx="0">
                  <c:v>30 MHz of 700 MHz  spectrum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  <a:effectLst/>
          </c:spPr>
          <c:invertIfNegative val="0"/>
          <c:cat>
            <c:numRef>
              <c:f>Analysis!$C$1017:$M$1017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Analysis!$C$1020:$M$1020</c:f>
              <c:numCache>
                <c:formatCode>#,##0</c:formatCode>
                <c:ptCount val="11"/>
                <c:pt idx="3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DE-461B-A9F6-E0D4B18D6965}"/>
            </c:ext>
          </c:extLst>
        </c:ser>
        <c:ser>
          <c:idx val="3"/>
          <c:order val="3"/>
          <c:tx>
            <c:strRef>
              <c:f>Analysis!$B$1021</c:f>
              <c:strCache>
                <c:ptCount val="1"/>
                <c:pt idx="0">
                  <c:v>EBITDA losses (IAS 17)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  <a:effectLst/>
          </c:spPr>
          <c:invertIfNegative val="0"/>
          <c:cat>
            <c:numRef>
              <c:f>Analysis!$C$1017:$M$1017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Analysis!$C$1021:$M$1021</c:f>
              <c:numCache>
                <c:formatCode>#,##0</c:formatCode>
                <c:ptCount val="11"/>
                <c:pt idx="0">
                  <c:v>10.61830807377072</c:v>
                </c:pt>
                <c:pt idx="1">
                  <c:v>191.80385288966724</c:v>
                </c:pt>
                <c:pt idx="2">
                  <c:v>257.31963470319636</c:v>
                </c:pt>
                <c:pt idx="3">
                  <c:v>179.71745562130175</c:v>
                </c:pt>
                <c:pt idx="4">
                  <c:v>117.10015408320494</c:v>
                </c:pt>
                <c:pt idx="5">
                  <c:v>82.822429906542055</c:v>
                </c:pt>
                <c:pt idx="6">
                  <c:v>0.55405405405405406</c:v>
                </c:pt>
                <c:pt idx="7">
                  <c:v>-37.942083781171966</c:v>
                </c:pt>
                <c:pt idx="8">
                  <c:v>-87.654791634979006</c:v>
                </c:pt>
                <c:pt idx="9">
                  <c:v>-119.19549940411214</c:v>
                </c:pt>
                <c:pt idx="10">
                  <c:v>-145.05871700596859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DE-461B-A9F6-E0D4B18D6965}"/>
            </c:ext>
          </c:extLst>
        </c:ser>
        <c:ser>
          <c:idx val="4"/>
          <c:order val="4"/>
          <c:tx>
            <c:strRef>
              <c:f>Analysis!$B$1022</c:f>
              <c:strCache>
                <c:ptCount val="1"/>
                <c:pt idx="0">
                  <c:v>Capex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  <a:effectLst/>
          </c:spPr>
          <c:invertIfNegative val="0"/>
          <c:cat>
            <c:numRef>
              <c:f>Analysis!$C$1017:$M$1017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Analysis!$C$1022:$M$1022</c:f>
              <c:numCache>
                <c:formatCode>#,##0</c:formatCode>
                <c:ptCount val="11"/>
                <c:pt idx="0">
                  <c:v>55.713777777777786</c:v>
                </c:pt>
                <c:pt idx="1">
                  <c:v>280</c:v>
                </c:pt>
                <c:pt idx="2">
                  <c:v>240</c:v>
                </c:pt>
                <c:pt idx="3">
                  <c:v>155</c:v>
                </c:pt>
                <c:pt idx="4">
                  <c:v>159.99999999999997</c:v>
                </c:pt>
                <c:pt idx="5">
                  <c:v>161.71185410334343</c:v>
                </c:pt>
                <c:pt idx="6">
                  <c:v>177.21584352773829</c:v>
                </c:pt>
                <c:pt idx="7">
                  <c:v>121.83712121212122</c:v>
                </c:pt>
                <c:pt idx="8">
                  <c:v>121.57950065703022</c:v>
                </c:pt>
                <c:pt idx="9">
                  <c:v>140.12142038946163</c:v>
                </c:pt>
                <c:pt idx="10">
                  <c:v>159.60833333333332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DE-461B-A9F6-E0D4B18D6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8439856"/>
        <c:axId val="212749200"/>
      </c:barChart>
      <c:catAx>
        <c:axId val="77843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212749200"/>
        <c:crosses val="autoZero"/>
        <c:auto val="1"/>
        <c:lblAlgn val="ctr"/>
        <c:lblOffset val="100"/>
        <c:noMultiLvlLbl val="0"/>
      </c:catAx>
      <c:valAx>
        <c:axId val="212749200"/>
        <c:scaling>
          <c:orientation val="minMax"/>
          <c:min val="-200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rebuchet MS"/>
                    <a:ea typeface="Trebuchet MS"/>
                    <a:cs typeface="Trebuchet MS"/>
                  </a:defRPr>
                </a:pPr>
                <a:r>
                  <a:rPr lang="en-US"/>
                  <a:t>USD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rebuchet MS"/>
                  <a:ea typeface="Trebuchet MS"/>
                  <a:cs typeface="Trebuchet M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77843985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2550577671185142E-3"/>
          <c:y val="0.86265058357067059"/>
          <c:w val="0.99050110646178657"/>
          <c:h val="0.1124317864522253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rebuchet MS"/>
              <a:ea typeface="Trebuchet MS"/>
              <a:cs typeface="Trebuchet M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25400">
              <a:noFill/>
            </a:ln>
            <a:effectLst/>
          </c:spPr>
          <c:invertIfNegative val="0"/>
          <c:cat>
            <c:numRef>
              <c:f>Analysis!$C$1026:$L$1026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Analysis!$C$1027:$L$1027</c:f>
              <c:numCache>
                <c:formatCode>General</c:formatCode>
                <c:ptCount val="10"/>
                <c:pt idx="0">
                  <c:v>246.053</c:v>
                </c:pt>
                <c:pt idx="1">
                  <c:v>269.09899999999999</c:v>
                </c:pt>
                <c:pt idx="2">
                  <c:v>289.37900000000002</c:v>
                </c:pt>
                <c:pt idx="3">
                  <c:v>95.812479545454494</c:v>
                </c:pt>
                <c:pt idx="4">
                  <c:v>-147.77000000000001</c:v>
                </c:pt>
                <c:pt idx="5">
                  <c:v>-68.477000000000004</c:v>
                </c:pt>
                <c:pt idx="6">
                  <c:v>55.781999999999996</c:v>
                </c:pt>
                <c:pt idx="7">
                  <c:v>53.091999999999999</c:v>
                </c:pt>
                <c:pt idx="8">
                  <c:v>-5.0999999999999996</c:v>
                </c:pt>
                <c:pt idx="9">
                  <c:v>81.177843498145748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1-4DD6-BEFC-E70729BA6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3372688"/>
        <c:axId val="509545552"/>
      </c:barChart>
      <c:catAx>
        <c:axId val="61337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509545552"/>
        <c:crosses val="autoZero"/>
        <c:auto val="1"/>
        <c:lblAlgn val="ctr"/>
        <c:lblOffset val="100"/>
        <c:noMultiLvlLbl val="0"/>
      </c:catAx>
      <c:valAx>
        <c:axId val="5095455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rebuchet MS"/>
                    <a:ea typeface="Trebuchet MS"/>
                    <a:cs typeface="Trebuchet MS"/>
                  </a:defRPr>
                </a:pPr>
                <a:r>
                  <a:rPr lang="en-GB"/>
                  <a:t>CLP bn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rebuchet MS"/>
                  <a:ea typeface="Trebuchet MS"/>
                  <a:cs typeface="Trebuchet M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6133726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63238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D3-48BD-AB37-9AD5EBCF9F89}"/>
              </c:ext>
            </c:extLst>
          </c:dPt>
          <c:dPt>
            <c:idx val="1"/>
            <c:bubble3D val="0"/>
            <c:explosion val="5"/>
            <c:spPr>
              <a:solidFill>
                <a:srgbClr val="799098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5D3-48BD-AB37-9AD5EBCF9F89}"/>
              </c:ext>
            </c:extLst>
          </c:dPt>
          <c:dPt>
            <c:idx val="2"/>
            <c:bubble3D val="0"/>
            <c:explosion val="7"/>
            <c:spPr>
              <a:solidFill>
                <a:srgbClr val="F9663E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D3-48BD-AB37-9AD5EBCF9F89}"/>
              </c:ext>
            </c:extLst>
          </c:dPt>
          <c:dPt>
            <c:idx val="3"/>
            <c:bubble3D val="0"/>
            <c:spPr>
              <a:solidFill>
                <a:srgbClr val="C7FE02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5D3-48BD-AB37-9AD5EBCF9F89}"/>
              </c:ext>
            </c:extLst>
          </c:dPt>
          <c:dPt>
            <c:idx val="4"/>
            <c:bubble3D val="0"/>
            <c:explosion val="8"/>
            <c:spPr>
              <a:solidFill>
                <a:srgbClr val="00C994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D3-48BD-AB37-9AD5EBCF9F89}"/>
              </c:ext>
            </c:extLst>
          </c:dPt>
          <c:dPt>
            <c:idx val="5"/>
            <c:bubble3D val="0"/>
            <c:explosion val="7"/>
            <c:spPr>
              <a:solidFill>
                <a:srgbClr val="465A63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5D3-48BD-AB37-9AD5EBCF9F89}"/>
              </c:ext>
            </c:extLst>
          </c:dPt>
          <c:dPt>
            <c:idx val="6"/>
            <c:bubble3D val="0"/>
            <c:spPr>
              <a:solidFill>
                <a:srgbClr val="B0BEC5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D3-48BD-AB37-9AD5EBCF9F8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FFFF"/>
                      </a:solidFill>
                      <a:latin typeface="Helvetica Neue"/>
                      <a:ea typeface="Helvetica Neue"/>
                      <a:cs typeface="Helvetica Neue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D3-48BD-AB37-9AD5EBCF9F8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FFFF"/>
                      </a:solidFill>
                      <a:latin typeface="Helvetica Neue"/>
                      <a:ea typeface="Helvetica Neue"/>
                      <a:cs typeface="Helvetica Neue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5D3-48BD-AB37-9AD5EBCF9F8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FFFF"/>
                      </a:solidFill>
                      <a:latin typeface="Helvetica Neue"/>
                      <a:ea typeface="Helvetica Neue"/>
                      <a:cs typeface="Helvetica Neue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5D3-48BD-AB37-9AD5EBCF9F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Helvetica Neue"/>
                    <a:ea typeface="Helvetica Neue"/>
                    <a:cs typeface="Helvetica Neu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Analysis!$B$1186:$B$1192</c:f>
              <c:strCache>
                <c:ptCount val="7"/>
                <c:pt idx="0">
                  <c:v>GTD</c:v>
                </c:pt>
                <c:pt idx="1">
                  <c:v>Entel</c:v>
                </c:pt>
                <c:pt idx="2">
                  <c:v>On Net Fibra (TEF / KKR)</c:v>
                </c:pt>
                <c:pt idx="3">
                  <c:v>WOM</c:v>
                </c:pt>
                <c:pt idx="4">
                  <c:v>VTR</c:v>
                </c:pt>
                <c:pt idx="5">
                  <c:v>Claro</c:v>
                </c:pt>
                <c:pt idx="6">
                  <c:v>Mundo</c:v>
                </c:pt>
              </c:strCache>
            </c:strRef>
          </c:cat>
          <c:val>
            <c:numRef>
              <c:f>Analysis!$C$1186:$C$1192</c:f>
              <c:numCache>
                <c:formatCode>_-* #,##0_-;\-* #,##0_-;_-* "-"??_-;_-@_-</c:formatCode>
                <c:ptCount val="7"/>
                <c:pt idx="0">
                  <c:v>1500</c:v>
                </c:pt>
                <c:pt idx="1">
                  <c:v>900</c:v>
                </c:pt>
                <c:pt idx="2">
                  <c:v>3500</c:v>
                </c:pt>
                <c:pt idx="3">
                  <c:v>950</c:v>
                </c:pt>
                <c:pt idx="4">
                  <c:v>4271</c:v>
                </c:pt>
                <c:pt idx="5">
                  <c:v>2000</c:v>
                </c:pt>
                <c:pt idx="6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3-48BD-AB37-9AD5EBCF9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595959"/>
              </a:solidFill>
              <a:latin typeface="Helvetica Neue"/>
              <a:ea typeface="Helvetica Neue"/>
              <a:cs typeface="Helvetica Neue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595959"/>
          </a:solidFill>
          <a:latin typeface="Helvetica Neue"/>
          <a:ea typeface="Helvetica Neue"/>
          <a:cs typeface="Helvetica Neue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Interims!$B$293</c:f>
              <c:strCache>
                <c:ptCount val="1"/>
                <c:pt idx="0">
                  <c:v>Service revenue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Interims!$AF$291:$AY$291</c:f>
              <c:strCache>
                <c:ptCount val="20"/>
                <c:pt idx="0">
                  <c:v>Q2 14</c:v>
                </c:pt>
                <c:pt idx="1">
                  <c:v>Q3 14</c:v>
                </c:pt>
                <c:pt idx="2">
                  <c:v>Q4 14</c:v>
                </c:pt>
                <c:pt idx="3">
                  <c:v>Q1 15</c:v>
                </c:pt>
                <c:pt idx="4">
                  <c:v>Q2 15</c:v>
                </c:pt>
                <c:pt idx="5">
                  <c:v>Q3 15</c:v>
                </c:pt>
                <c:pt idx="6">
                  <c:v>Q4 15</c:v>
                </c:pt>
                <c:pt idx="7">
                  <c:v>Q1 16</c:v>
                </c:pt>
                <c:pt idx="8">
                  <c:v>Q2 16</c:v>
                </c:pt>
                <c:pt idx="9">
                  <c:v>Q3 16</c:v>
                </c:pt>
                <c:pt idx="10">
                  <c:v>Q4 16</c:v>
                </c:pt>
                <c:pt idx="11">
                  <c:v>Q1 17</c:v>
                </c:pt>
                <c:pt idx="12">
                  <c:v>Q2 17</c:v>
                </c:pt>
                <c:pt idx="13">
                  <c:v>Q3 17</c:v>
                </c:pt>
                <c:pt idx="14">
                  <c:v>Q4 17</c:v>
                </c:pt>
                <c:pt idx="15">
                  <c:v>Q1 18</c:v>
                </c:pt>
                <c:pt idx="16">
                  <c:v>Q2 18</c:v>
                </c:pt>
                <c:pt idx="17">
                  <c:v>Q3 18</c:v>
                </c:pt>
                <c:pt idx="18">
                  <c:v>Q4 18</c:v>
                </c:pt>
                <c:pt idx="19">
                  <c:v>Q1 19</c:v>
                </c:pt>
              </c:strCache>
            </c:strRef>
          </c:cat>
          <c:val>
            <c:numRef>
              <c:f>Interims!$AF$293:$AY$293</c:f>
              <c:numCache>
                <c:formatCode>0</c:formatCode>
                <c:ptCount val="20"/>
                <c:pt idx="1">
                  <c:v>164.75074000000001</c:v>
                </c:pt>
                <c:pt idx="2">
                  <c:v>181.22445000000002</c:v>
                </c:pt>
                <c:pt idx="3">
                  <c:v>215.18123000000003</c:v>
                </c:pt>
                <c:pt idx="4">
                  <c:v>219.93135999999998</c:v>
                </c:pt>
                <c:pt idx="5">
                  <c:v>248.25823</c:v>
                </c:pt>
                <c:pt idx="6">
                  <c:v>297.48158000000001</c:v>
                </c:pt>
                <c:pt idx="7">
                  <c:v>340.97302999999999</c:v>
                </c:pt>
                <c:pt idx="8">
                  <c:v>356.97477400000002</c:v>
                </c:pt>
                <c:pt idx="9">
                  <c:v>394.57440000000003</c:v>
                </c:pt>
                <c:pt idx="10">
                  <c:v>422.47129400000006</c:v>
                </c:pt>
                <c:pt idx="11">
                  <c:v>443.06063740000002</c:v>
                </c:pt>
                <c:pt idx="12">
                  <c:v>454.12249999999995</c:v>
                </c:pt>
                <c:pt idx="13">
                  <c:v>506.11583999999999</c:v>
                </c:pt>
                <c:pt idx="14">
                  <c:v>533.419985</c:v>
                </c:pt>
                <c:pt idx="15">
                  <c:v>416.820921</c:v>
                </c:pt>
                <c:pt idx="16">
                  <c:v>403.91073999999998</c:v>
                </c:pt>
                <c:pt idx="17">
                  <c:v>428.78850750000004</c:v>
                </c:pt>
                <c:pt idx="18">
                  <c:v>465.65567999999996</c:v>
                </c:pt>
                <c:pt idx="19">
                  <c:v>435.19140849999997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C-428E-9A8F-A70426369508}"/>
            </c:ext>
          </c:extLst>
        </c:ser>
        <c:ser>
          <c:idx val="1"/>
          <c:order val="1"/>
          <c:tx>
            <c:strRef>
              <c:f>Interims!$B$296</c:f>
              <c:strCache>
                <c:ptCount val="1"/>
                <c:pt idx="0">
                  <c:v>Clean EBITDA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  <a:effectLst/>
          </c:spPr>
          <c:invertIfNegative val="0"/>
          <c:cat>
            <c:strRef>
              <c:f>Interims!$AF$291:$AY$291</c:f>
              <c:strCache>
                <c:ptCount val="20"/>
                <c:pt idx="0">
                  <c:v>Q2 14</c:v>
                </c:pt>
                <c:pt idx="1">
                  <c:v>Q3 14</c:v>
                </c:pt>
                <c:pt idx="2">
                  <c:v>Q4 14</c:v>
                </c:pt>
                <c:pt idx="3">
                  <c:v>Q1 15</c:v>
                </c:pt>
                <c:pt idx="4">
                  <c:v>Q2 15</c:v>
                </c:pt>
                <c:pt idx="5">
                  <c:v>Q3 15</c:v>
                </c:pt>
                <c:pt idx="6">
                  <c:v>Q4 15</c:v>
                </c:pt>
                <c:pt idx="7">
                  <c:v>Q1 16</c:v>
                </c:pt>
                <c:pt idx="8">
                  <c:v>Q2 16</c:v>
                </c:pt>
                <c:pt idx="9">
                  <c:v>Q3 16</c:v>
                </c:pt>
                <c:pt idx="10">
                  <c:v>Q4 16</c:v>
                </c:pt>
                <c:pt idx="11">
                  <c:v>Q1 17</c:v>
                </c:pt>
                <c:pt idx="12">
                  <c:v>Q2 17</c:v>
                </c:pt>
                <c:pt idx="13">
                  <c:v>Q3 17</c:v>
                </c:pt>
                <c:pt idx="14">
                  <c:v>Q4 17</c:v>
                </c:pt>
                <c:pt idx="15">
                  <c:v>Q1 18</c:v>
                </c:pt>
                <c:pt idx="16">
                  <c:v>Q2 18</c:v>
                </c:pt>
                <c:pt idx="17">
                  <c:v>Q3 18</c:v>
                </c:pt>
                <c:pt idx="18">
                  <c:v>Q4 18</c:v>
                </c:pt>
                <c:pt idx="19">
                  <c:v>Q1 19</c:v>
                </c:pt>
              </c:strCache>
            </c:strRef>
          </c:cat>
          <c:val>
            <c:numRef>
              <c:f>Interims!$AF$296:$AY$296</c:f>
              <c:numCache>
                <c:formatCode>0</c:formatCode>
                <c:ptCount val="20"/>
                <c:pt idx="0">
                  <c:v>-106.51264864864864</c:v>
                </c:pt>
                <c:pt idx="1">
                  <c:v>-116.74214532871972</c:v>
                </c:pt>
                <c:pt idx="2">
                  <c:v>-268.27138795986622</c:v>
                </c:pt>
                <c:pt idx="3">
                  <c:v>-174.17504172775631</c:v>
                </c:pt>
                <c:pt idx="4">
                  <c:v>-201.12766990291263</c:v>
                </c:pt>
                <c:pt idx="5">
                  <c:v>-211.29874686576483</c:v>
                </c:pt>
                <c:pt idx="6">
                  <c:v>-235.26775087489881</c:v>
                </c:pt>
                <c:pt idx="7">
                  <c:v>-154.63350418317742</c:v>
                </c:pt>
                <c:pt idx="8">
                  <c:v>-168.16622156573115</c:v>
                </c:pt>
                <c:pt idx="9">
                  <c:v>-138.57498489425981</c:v>
                </c:pt>
                <c:pt idx="10">
                  <c:v>-143.01931578947369</c:v>
                </c:pt>
                <c:pt idx="11">
                  <c:v>-113.82845609756099</c:v>
                </c:pt>
                <c:pt idx="12">
                  <c:v>-129.06948795180722</c:v>
                </c:pt>
                <c:pt idx="13">
                  <c:v>-79.999610591900307</c:v>
                </c:pt>
                <c:pt idx="14">
                  <c:v>-40.930489731437596</c:v>
                </c:pt>
                <c:pt idx="15">
                  <c:v>-84.513303115132615</c:v>
                </c:pt>
                <c:pt idx="16">
                  <c:v>-87.393560248031847</c:v>
                </c:pt>
                <c:pt idx="17">
                  <c:v>-75.94788838612368</c:v>
                </c:pt>
                <c:pt idx="18">
                  <c:v>-11.17533039647577</c:v>
                </c:pt>
                <c:pt idx="19">
                  <c:v>30.476407185628741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C-428E-9A8F-A70426369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73408"/>
        <c:axId val="131474944"/>
      </c:barChart>
      <c:catAx>
        <c:axId val="13147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31474944"/>
        <c:crosses val="autoZero"/>
        <c:auto val="1"/>
        <c:lblAlgn val="ctr"/>
        <c:lblOffset val="100"/>
        <c:noMultiLvlLbl val="0"/>
      </c:catAx>
      <c:valAx>
        <c:axId val="13147494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SOL m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31473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186547877092447"/>
          <c:y val="0.90518623626312611"/>
          <c:w val="0.40378389226842459"/>
          <c:h val="6.2108262291683501E-2"/>
        </c:manualLayout>
      </c:layout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8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Interims!$B$279</c:f>
              <c:strCache>
                <c:ptCount val="1"/>
                <c:pt idx="0">
                  <c:v>Post-paid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Interims!$AG$278:$AU$278</c:f>
              <c:strCache>
                <c:ptCount val="15"/>
                <c:pt idx="0">
                  <c:v>Q3 14</c:v>
                </c:pt>
                <c:pt idx="1">
                  <c:v>Q4 14</c:v>
                </c:pt>
                <c:pt idx="2">
                  <c:v>Q1 15</c:v>
                </c:pt>
                <c:pt idx="3">
                  <c:v>Q2 15</c:v>
                </c:pt>
                <c:pt idx="4">
                  <c:v>Q3 15</c:v>
                </c:pt>
                <c:pt idx="5">
                  <c:v>Q4 15</c:v>
                </c:pt>
                <c:pt idx="6">
                  <c:v>Q1 16</c:v>
                </c:pt>
                <c:pt idx="7">
                  <c:v>Q2 16</c:v>
                </c:pt>
                <c:pt idx="8">
                  <c:v>Q3 16</c:v>
                </c:pt>
                <c:pt idx="9">
                  <c:v>Q4 16</c:v>
                </c:pt>
                <c:pt idx="10">
                  <c:v>Q1 17</c:v>
                </c:pt>
                <c:pt idx="11">
                  <c:v>Q2 17</c:v>
                </c:pt>
                <c:pt idx="12">
                  <c:v>Q3 17</c:v>
                </c:pt>
                <c:pt idx="13">
                  <c:v>Q4 17</c:v>
                </c:pt>
                <c:pt idx="14">
                  <c:v>Q1 18</c:v>
                </c:pt>
              </c:strCache>
            </c:strRef>
          </c:cat>
          <c:val>
            <c:numRef>
              <c:f>Interims!$AG$279:$AU$279</c:f>
              <c:numCache>
                <c:formatCode>#,##0</c:formatCode>
                <c:ptCount val="15"/>
                <c:pt idx="0">
                  <c:v>45</c:v>
                </c:pt>
                <c:pt idx="1">
                  <c:v>122</c:v>
                </c:pt>
                <c:pt idx="2">
                  <c:v>68</c:v>
                </c:pt>
                <c:pt idx="3">
                  <c:v>93</c:v>
                </c:pt>
                <c:pt idx="4">
                  <c:v>176</c:v>
                </c:pt>
                <c:pt idx="5">
                  <c:v>134</c:v>
                </c:pt>
                <c:pt idx="6">
                  <c:v>46</c:v>
                </c:pt>
                <c:pt idx="7">
                  <c:v>120</c:v>
                </c:pt>
                <c:pt idx="8">
                  <c:v>144</c:v>
                </c:pt>
                <c:pt idx="9">
                  <c:v>150</c:v>
                </c:pt>
                <c:pt idx="10">
                  <c:v>92</c:v>
                </c:pt>
                <c:pt idx="11">
                  <c:v>92</c:v>
                </c:pt>
                <c:pt idx="12">
                  <c:v>153</c:v>
                </c:pt>
                <c:pt idx="13">
                  <c:v>64</c:v>
                </c:pt>
                <c:pt idx="1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A-4EFC-A33C-3FCE0F2FF036}"/>
            </c:ext>
          </c:extLst>
        </c:ser>
        <c:ser>
          <c:idx val="1"/>
          <c:order val="1"/>
          <c:tx>
            <c:strRef>
              <c:f>Interims!$B$280</c:f>
              <c:strCache>
                <c:ptCount val="1"/>
                <c:pt idx="0">
                  <c:v>Pre-paid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Interims!$AG$278:$AU$278</c:f>
              <c:strCache>
                <c:ptCount val="15"/>
                <c:pt idx="0">
                  <c:v>Q3 14</c:v>
                </c:pt>
                <c:pt idx="1">
                  <c:v>Q4 14</c:v>
                </c:pt>
                <c:pt idx="2">
                  <c:v>Q1 15</c:v>
                </c:pt>
                <c:pt idx="3">
                  <c:v>Q2 15</c:v>
                </c:pt>
                <c:pt idx="4">
                  <c:v>Q3 15</c:v>
                </c:pt>
                <c:pt idx="5">
                  <c:v>Q4 15</c:v>
                </c:pt>
                <c:pt idx="6">
                  <c:v>Q1 16</c:v>
                </c:pt>
                <c:pt idx="7">
                  <c:v>Q2 16</c:v>
                </c:pt>
                <c:pt idx="8">
                  <c:v>Q3 16</c:v>
                </c:pt>
                <c:pt idx="9">
                  <c:v>Q4 16</c:v>
                </c:pt>
                <c:pt idx="10">
                  <c:v>Q1 17</c:v>
                </c:pt>
                <c:pt idx="11">
                  <c:v>Q2 17</c:v>
                </c:pt>
                <c:pt idx="12">
                  <c:v>Q3 17</c:v>
                </c:pt>
                <c:pt idx="13">
                  <c:v>Q4 17</c:v>
                </c:pt>
                <c:pt idx="14">
                  <c:v>Q1 18</c:v>
                </c:pt>
              </c:strCache>
            </c:strRef>
          </c:cat>
          <c:val>
            <c:numRef>
              <c:f>Interims!$AG$280:$AU$280</c:f>
              <c:numCache>
                <c:formatCode>#,##0</c:formatCode>
                <c:ptCount val="15"/>
                <c:pt idx="0">
                  <c:v>-18</c:v>
                </c:pt>
                <c:pt idx="1">
                  <c:v>136</c:v>
                </c:pt>
                <c:pt idx="2">
                  <c:v>154</c:v>
                </c:pt>
                <c:pt idx="3">
                  <c:v>-52</c:v>
                </c:pt>
                <c:pt idx="4">
                  <c:v>367</c:v>
                </c:pt>
                <c:pt idx="5">
                  <c:v>451</c:v>
                </c:pt>
                <c:pt idx="6">
                  <c:v>513</c:v>
                </c:pt>
                <c:pt idx="7">
                  <c:v>381</c:v>
                </c:pt>
                <c:pt idx="8">
                  <c:v>175</c:v>
                </c:pt>
                <c:pt idx="9">
                  <c:v>151</c:v>
                </c:pt>
                <c:pt idx="10">
                  <c:v>221</c:v>
                </c:pt>
                <c:pt idx="11">
                  <c:v>545</c:v>
                </c:pt>
                <c:pt idx="12">
                  <c:v>282</c:v>
                </c:pt>
                <c:pt idx="13">
                  <c:v>285</c:v>
                </c:pt>
                <c:pt idx="14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A-4EFC-A33C-3FCE0F2FF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88768"/>
        <c:axId val="131502848"/>
      </c:barChart>
      <c:catAx>
        <c:axId val="13148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1502848"/>
        <c:crosses val="autoZero"/>
        <c:auto val="1"/>
        <c:lblAlgn val="ctr"/>
        <c:lblOffset val="100"/>
        <c:noMultiLvlLbl val="0"/>
      </c:catAx>
      <c:valAx>
        <c:axId val="1315028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adds, 000s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314887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ln w="25400">
          <a:noFill/>
        </a:ln>
      </c:spPr>
    </c:legend>
    <c:plotVisOnly val="1"/>
    <c:dispBlanksAs val="gap"/>
    <c:showDLblsOverMax val="0"/>
  </c:chart>
  <c:spPr>
    <a:ln w="25400">
      <a:noFill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333399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Interims!$AF$259:$AT$259</c:f>
              <c:strCache>
                <c:ptCount val="11"/>
                <c:pt idx="0">
                  <c:v>Q2 14</c:v>
                </c:pt>
                <c:pt idx="1">
                  <c:v>Q3 14</c:v>
                </c:pt>
                <c:pt idx="2">
                  <c:v>Q4 14</c:v>
                </c:pt>
                <c:pt idx="3">
                  <c:v>Q1 15</c:v>
                </c:pt>
                <c:pt idx="4">
                  <c:v>Q2 15</c:v>
                </c:pt>
                <c:pt idx="5">
                  <c:v>Q3 15</c:v>
                </c:pt>
                <c:pt idx="6">
                  <c:v>Q4 15</c:v>
                </c:pt>
                <c:pt idx="7">
                  <c:v>Q1 16</c:v>
                </c:pt>
                <c:pt idx="8">
                  <c:v>Q2 16</c:v>
                </c:pt>
                <c:pt idx="9">
                  <c:v>Q3 16</c:v>
                </c:pt>
                <c:pt idx="10">
                  <c:v>Q4 16</c:v>
                </c:pt>
              </c:strCache>
            </c:strRef>
          </c:cat>
          <c:val>
            <c:numRef>
              <c:f>Interims!$AF$269:$AT$269</c:f>
              <c:numCache>
                <c:formatCode>0%</c:formatCode>
                <c:ptCount val="15"/>
                <c:pt idx="0">
                  <c:v>0.51961459050240877</c:v>
                </c:pt>
                <c:pt idx="1">
                  <c:v>0.54054054054054057</c:v>
                </c:pt>
                <c:pt idx="2">
                  <c:v>0.53049482163406214</c:v>
                </c:pt>
                <c:pt idx="3">
                  <c:v>0.50510204081632648</c:v>
                </c:pt>
                <c:pt idx="4">
                  <c:v>0.54122938530734632</c:v>
                </c:pt>
                <c:pt idx="5">
                  <c:v>0.49488993710691825</c:v>
                </c:pt>
                <c:pt idx="6">
                  <c:v>0.44519015659955258</c:v>
                </c:pt>
                <c:pt idx="7">
                  <c:v>0.39018438177874187</c:v>
                </c:pt>
                <c:pt idx="8">
                  <c:v>0.37216519455717356</c:v>
                </c:pt>
                <c:pt idx="9">
                  <c:v>0.37777284826974267</c:v>
                </c:pt>
                <c:pt idx="10">
                  <c:v>0.38531919317945518</c:v>
                </c:pt>
                <c:pt idx="11">
                  <c:v>0.37973447871925031</c:v>
                </c:pt>
                <c:pt idx="12">
                  <c:v>0.35370724084042371</c:v>
                </c:pt>
                <c:pt idx="13">
                  <c:v>0.35356796900226023</c:v>
                </c:pt>
                <c:pt idx="14">
                  <c:v>0.34449029497172551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7-4D11-8775-69643FCD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519616"/>
        <c:axId val="131521152"/>
      </c:lineChart>
      <c:catAx>
        <c:axId val="13151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131521152"/>
        <c:crosses val="autoZero"/>
        <c:auto val="1"/>
        <c:lblAlgn val="ctr"/>
        <c:lblOffset val="100"/>
        <c:noMultiLvlLbl val="0"/>
      </c:catAx>
      <c:valAx>
        <c:axId val="1315211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/>
                <a:ea typeface="Trebuchet MS"/>
                <a:cs typeface="Trebuchet MS"/>
              </a:defRPr>
            </a:pPr>
            <a:endParaRPr lang="en-US"/>
          </a:p>
        </c:txPr>
        <c:crossAx val="1315196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 b="0" i="0" u="none" strike="noStrike" baseline="0">
          <a:latin typeface="Trebuchet MS"/>
          <a:ea typeface="Trebuchet MS"/>
          <a:cs typeface="Trebuchet M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New!A1"/><Relationship Id="rId2" Type="http://schemas.openxmlformats.org/officeDocument/2006/relationships/image" Target="../media/image1.png"/><Relationship Id="rId1" Type="http://schemas.openxmlformats.org/officeDocument/2006/relationships/hyperlink" Target="http://www.newstreetresearch.com/" TargetMode="External"/><Relationship Id="rId5" Type="http://schemas.openxmlformats.org/officeDocument/2006/relationships/hyperlink" Target="#Valuation!A1"/><Relationship Id="rId4" Type="http://schemas.openxmlformats.org/officeDocument/2006/relationships/hyperlink" Target="#'New Int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38.xml"/><Relationship Id="rId18" Type="http://schemas.openxmlformats.org/officeDocument/2006/relationships/chart" Target="../charts/chart43.xml"/><Relationship Id="rId26" Type="http://schemas.openxmlformats.org/officeDocument/2006/relationships/chart" Target="../charts/chart51.xml"/><Relationship Id="rId39" Type="http://schemas.openxmlformats.org/officeDocument/2006/relationships/image" Target="../media/image4.png"/><Relationship Id="rId21" Type="http://schemas.openxmlformats.org/officeDocument/2006/relationships/chart" Target="../charts/chart46.xml"/><Relationship Id="rId34" Type="http://schemas.openxmlformats.org/officeDocument/2006/relationships/chart" Target="../charts/chart59.xml"/><Relationship Id="rId42" Type="http://schemas.openxmlformats.org/officeDocument/2006/relationships/image" Target="../media/image7.png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6" Type="http://schemas.openxmlformats.org/officeDocument/2006/relationships/chart" Target="../charts/chart41.xml"/><Relationship Id="rId29" Type="http://schemas.openxmlformats.org/officeDocument/2006/relationships/chart" Target="../charts/chart54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24" Type="http://schemas.openxmlformats.org/officeDocument/2006/relationships/chart" Target="../charts/chart49.xml"/><Relationship Id="rId32" Type="http://schemas.openxmlformats.org/officeDocument/2006/relationships/chart" Target="../charts/chart57.xml"/><Relationship Id="rId37" Type="http://schemas.openxmlformats.org/officeDocument/2006/relationships/chart" Target="../charts/chart62.xml"/><Relationship Id="rId40" Type="http://schemas.openxmlformats.org/officeDocument/2006/relationships/image" Target="../media/image5.png"/><Relationship Id="rId45" Type="http://schemas.openxmlformats.org/officeDocument/2006/relationships/chart" Target="../charts/chart64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23" Type="http://schemas.openxmlformats.org/officeDocument/2006/relationships/chart" Target="../charts/chart48.xml"/><Relationship Id="rId28" Type="http://schemas.openxmlformats.org/officeDocument/2006/relationships/chart" Target="../charts/chart53.xml"/><Relationship Id="rId36" Type="http://schemas.openxmlformats.org/officeDocument/2006/relationships/chart" Target="../charts/chart61.xml"/><Relationship Id="rId10" Type="http://schemas.openxmlformats.org/officeDocument/2006/relationships/chart" Target="../charts/chart35.xml"/><Relationship Id="rId19" Type="http://schemas.openxmlformats.org/officeDocument/2006/relationships/chart" Target="../charts/chart44.xml"/><Relationship Id="rId31" Type="http://schemas.openxmlformats.org/officeDocument/2006/relationships/chart" Target="../charts/chart56.xml"/><Relationship Id="rId44" Type="http://schemas.openxmlformats.org/officeDocument/2006/relationships/chart" Target="../charts/chart63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Relationship Id="rId22" Type="http://schemas.openxmlformats.org/officeDocument/2006/relationships/chart" Target="../charts/chart47.xml"/><Relationship Id="rId27" Type="http://schemas.openxmlformats.org/officeDocument/2006/relationships/chart" Target="../charts/chart52.xml"/><Relationship Id="rId30" Type="http://schemas.openxmlformats.org/officeDocument/2006/relationships/chart" Target="../charts/chart55.xml"/><Relationship Id="rId35" Type="http://schemas.openxmlformats.org/officeDocument/2006/relationships/chart" Target="../charts/chart60.xml"/><Relationship Id="rId43" Type="http://schemas.openxmlformats.org/officeDocument/2006/relationships/image" Target="../media/image8.png"/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12" Type="http://schemas.openxmlformats.org/officeDocument/2006/relationships/chart" Target="../charts/chart37.xml"/><Relationship Id="rId17" Type="http://schemas.openxmlformats.org/officeDocument/2006/relationships/chart" Target="../charts/chart42.xml"/><Relationship Id="rId25" Type="http://schemas.openxmlformats.org/officeDocument/2006/relationships/chart" Target="../charts/chart50.xml"/><Relationship Id="rId33" Type="http://schemas.openxmlformats.org/officeDocument/2006/relationships/chart" Target="../charts/chart58.xml"/><Relationship Id="rId38" Type="http://schemas.openxmlformats.org/officeDocument/2006/relationships/image" Target="../media/image3.png"/><Relationship Id="rId46" Type="http://schemas.openxmlformats.org/officeDocument/2006/relationships/chart" Target="../charts/chart65.xml"/><Relationship Id="rId20" Type="http://schemas.openxmlformats.org/officeDocument/2006/relationships/chart" Target="../charts/chart45.xml"/><Relationship Id="rId4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145774</xdr:colOff>
      <xdr:row>2</xdr:row>
      <xdr:rowOff>16565</xdr:rowOff>
    </xdr:from>
    <xdr:to>
      <xdr:col>4</xdr:col>
      <xdr:colOff>176254</xdr:colOff>
      <xdr:row>7</xdr:row>
      <xdr:rowOff>16565</xdr:rowOff>
    </xdr:to>
    <xdr:pic>
      <xdr:nvPicPr>
        <xdr:cNvPr id="3" name="Picture 2" descr="signature_53485845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C6F1D-8424-4EF9-83AC-388578A73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74" y="314739"/>
          <a:ext cx="3376654" cy="7454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29</xdr:row>
      <xdr:rowOff>30480</xdr:rowOff>
    </xdr:from>
    <xdr:to>
      <xdr:col>3</xdr:col>
      <xdr:colOff>15240</xdr:colOff>
      <xdr:row>32</xdr:row>
      <xdr:rowOff>106680</xdr:rowOff>
    </xdr:to>
    <xdr:sp macro="" textlink="">
      <xdr:nvSpPr>
        <xdr:cNvPr id="2" name="Rectangle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A22D13-0C15-4305-8E5A-DBE9231F4826}"/>
            </a:ext>
          </a:extLst>
        </xdr:cNvPr>
        <xdr:cNvSpPr/>
      </xdr:nvSpPr>
      <xdr:spPr>
        <a:xfrm>
          <a:off x="1066800" y="4785360"/>
          <a:ext cx="1516380" cy="533400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Main model</a:t>
          </a:r>
        </a:p>
      </xdr:txBody>
    </xdr:sp>
    <xdr:clientData/>
  </xdr:twoCellAnchor>
  <xdr:twoCellAnchor>
    <xdr:from>
      <xdr:col>3</xdr:col>
      <xdr:colOff>447675</xdr:colOff>
      <xdr:row>29</xdr:row>
      <xdr:rowOff>7620</xdr:rowOff>
    </xdr:from>
    <xdr:to>
      <xdr:col>6</xdr:col>
      <xdr:colOff>93345</xdr:colOff>
      <xdr:row>32</xdr:row>
      <xdr:rowOff>83820</xdr:rowOff>
    </xdr:to>
    <xdr:sp macro="" textlink="">
      <xdr:nvSpPr>
        <xdr:cNvPr id="4" name="Rectangl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DC451C-64C5-4DA2-9702-2CEE0AB2AB96}"/>
            </a:ext>
          </a:extLst>
        </xdr:cNvPr>
        <xdr:cNvSpPr/>
      </xdr:nvSpPr>
      <xdr:spPr>
        <a:xfrm>
          <a:off x="3015615" y="4762500"/>
          <a:ext cx="1474470" cy="533400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Interims</a:t>
          </a:r>
        </a:p>
      </xdr:txBody>
    </xdr:sp>
    <xdr:clientData/>
  </xdr:twoCellAnchor>
  <xdr:twoCellAnchor>
    <xdr:from>
      <xdr:col>7</xdr:col>
      <xdr:colOff>45720</xdr:colOff>
      <xdr:row>29</xdr:row>
      <xdr:rowOff>0</xdr:rowOff>
    </xdr:from>
    <xdr:to>
      <xdr:col>9</xdr:col>
      <xdr:colOff>308610</xdr:colOff>
      <xdr:row>32</xdr:row>
      <xdr:rowOff>76200</xdr:rowOff>
    </xdr:to>
    <xdr:sp macro="" textlink="">
      <xdr:nvSpPr>
        <xdr:cNvPr id="5" name="Rectangl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79D820-9D7C-441B-B33C-7AA4C2BCC7F5}"/>
            </a:ext>
          </a:extLst>
        </xdr:cNvPr>
        <xdr:cNvSpPr/>
      </xdr:nvSpPr>
      <xdr:spPr>
        <a:xfrm>
          <a:off x="5052060" y="4754880"/>
          <a:ext cx="1482090" cy="533400"/>
        </a:xfrm>
        <a:prstGeom prst="rect">
          <a:avLst/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100"/>
            <a:t>Valuation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122465</xdr:colOff>
      <xdr:row>40</xdr:row>
      <xdr:rowOff>131988</xdr:rowOff>
    </xdr:from>
    <xdr:to>
      <xdr:col>29</xdr:col>
      <xdr:colOff>408214</xdr:colOff>
      <xdr:row>49</xdr:row>
      <xdr:rowOff>31295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12</xdr:row>
      <xdr:rowOff>95249</xdr:rowOff>
    </xdr:from>
    <xdr:to>
      <xdr:col>29</xdr:col>
      <xdr:colOff>68036</xdr:colOff>
      <xdr:row>26</xdr:row>
      <xdr:rowOff>185056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59191</xdr:colOff>
      <xdr:row>8</xdr:row>
      <xdr:rowOff>25400</xdr:rowOff>
    </xdr:from>
    <xdr:to>
      <xdr:col>68</xdr:col>
      <xdr:colOff>495300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23849C-9405-4DF8-A63C-D04ACF8C7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585108</xdr:colOff>
      <xdr:row>136</xdr:row>
      <xdr:rowOff>149678</xdr:rowOff>
    </xdr:from>
    <xdr:to>
      <xdr:col>47</xdr:col>
      <xdr:colOff>575174</xdr:colOff>
      <xdr:row>155</xdr:row>
      <xdr:rowOff>45858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C5CCA5F-2F28-4387-ACAF-336FA28C3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231331</xdr:colOff>
      <xdr:row>212</xdr:row>
      <xdr:rowOff>91167</xdr:rowOff>
    </xdr:from>
    <xdr:to>
      <xdr:col>41</xdr:col>
      <xdr:colOff>326571</xdr:colOff>
      <xdr:row>227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353788</xdr:colOff>
      <xdr:row>303</xdr:row>
      <xdr:rowOff>27214</xdr:rowOff>
    </xdr:from>
    <xdr:to>
      <xdr:col>34</xdr:col>
      <xdr:colOff>435429</xdr:colOff>
      <xdr:row>320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97</xdr:col>
      <xdr:colOff>163282</xdr:colOff>
      <xdr:row>288</xdr:row>
      <xdr:rowOff>184784</xdr:rowOff>
    </xdr:from>
    <xdr:to>
      <xdr:col>103</xdr:col>
      <xdr:colOff>231321</xdr:colOff>
      <xdr:row>306</xdr:row>
      <xdr:rowOff>122464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340177</xdr:colOff>
      <xdr:row>303</xdr:row>
      <xdr:rowOff>149677</xdr:rowOff>
    </xdr:from>
    <xdr:to>
      <xdr:col>44</xdr:col>
      <xdr:colOff>0</xdr:colOff>
      <xdr:row>320</xdr:row>
      <xdr:rowOff>68034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101</xdr:col>
      <xdr:colOff>340178</xdr:colOff>
      <xdr:row>267</xdr:row>
      <xdr:rowOff>149678</xdr:rowOff>
    </xdr:from>
    <xdr:to>
      <xdr:col>106</xdr:col>
      <xdr:colOff>530678</xdr:colOff>
      <xdr:row>280</xdr:row>
      <xdr:rowOff>176892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307182</xdr:colOff>
      <xdr:row>30</xdr:row>
      <xdr:rowOff>38033</xdr:rowOff>
    </xdr:from>
    <xdr:to>
      <xdr:col>22</xdr:col>
      <xdr:colOff>26535</xdr:colOff>
      <xdr:row>47</xdr:row>
      <xdr:rowOff>94910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1A784A-6158-45DA-9B79-F4D689F9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391544</xdr:colOff>
      <xdr:row>70</xdr:row>
      <xdr:rowOff>141853</xdr:rowOff>
    </xdr:from>
    <xdr:to>
      <xdr:col>25</xdr:col>
      <xdr:colOff>96951</xdr:colOff>
      <xdr:row>91</xdr:row>
      <xdr:rowOff>71370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4084AE-0018-4D97-885B-9EC506959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598715</xdr:colOff>
      <xdr:row>47</xdr:row>
      <xdr:rowOff>76199</xdr:rowOff>
    </xdr:from>
    <xdr:to>
      <xdr:col>29</xdr:col>
      <xdr:colOff>419099</xdr:colOff>
      <xdr:row>69</xdr:row>
      <xdr:rowOff>100692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52B1C8B-6CB4-4765-AD7F-CBE658BB1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369094</xdr:colOff>
      <xdr:row>84</xdr:row>
      <xdr:rowOff>109538</xdr:rowOff>
    </xdr:from>
    <xdr:to>
      <xdr:col>23</xdr:col>
      <xdr:colOff>66676</xdr:colOff>
      <xdr:row>103</xdr:row>
      <xdr:rowOff>138113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932D898-F815-2B68-4BC8-C79F5C6F6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101</xdr:row>
      <xdr:rowOff>0</xdr:rowOff>
    </xdr:from>
    <xdr:to>
      <xdr:col>21</xdr:col>
      <xdr:colOff>304800</xdr:colOff>
      <xdr:row>119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86EB8B9-143F-49D6-B4F2-F0B149BCB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442913</xdr:colOff>
      <xdr:row>98</xdr:row>
      <xdr:rowOff>45243</xdr:rowOff>
    </xdr:from>
    <xdr:to>
      <xdr:col>8</xdr:col>
      <xdr:colOff>557213</xdr:colOff>
      <xdr:row>113</xdr:row>
      <xdr:rowOff>73818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9B167C0-FD47-E5A3-7240-F18C41965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601265</xdr:colOff>
      <xdr:row>140</xdr:row>
      <xdr:rowOff>69057</xdr:rowOff>
    </xdr:from>
    <xdr:to>
      <xdr:col>10</xdr:col>
      <xdr:colOff>154780</xdr:colOff>
      <xdr:row>154</xdr:row>
      <xdr:rowOff>107157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FB47DC-140A-F9FB-6D0F-7508645BB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279796</xdr:colOff>
      <xdr:row>171</xdr:row>
      <xdr:rowOff>104775</xdr:rowOff>
    </xdr:from>
    <xdr:to>
      <xdr:col>10</xdr:col>
      <xdr:colOff>357187</xdr:colOff>
      <xdr:row>186</xdr:row>
      <xdr:rowOff>154781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529C607-AF51-B081-8F78-7A0333246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160734</xdr:colOff>
      <xdr:row>196</xdr:row>
      <xdr:rowOff>69057</xdr:rowOff>
    </xdr:from>
    <xdr:to>
      <xdr:col>10</xdr:col>
      <xdr:colOff>53578</xdr:colOff>
      <xdr:row>210</xdr:row>
      <xdr:rowOff>145257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9348228-8EE7-8FC0-7B75-667FB5D18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184546</xdr:colOff>
      <xdr:row>216</xdr:row>
      <xdr:rowOff>104775</xdr:rowOff>
    </xdr:from>
    <xdr:to>
      <xdr:col>10</xdr:col>
      <xdr:colOff>77390</xdr:colOff>
      <xdr:row>230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6A3A93E-1B50-9B7C-2490-E9E06F8FD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136921</xdr:colOff>
      <xdr:row>231</xdr:row>
      <xdr:rowOff>92868</xdr:rowOff>
    </xdr:from>
    <xdr:to>
      <xdr:col>20</xdr:col>
      <xdr:colOff>190500</xdr:colOff>
      <xdr:row>248</xdr:row>
      <xdr:rowOff>154781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2B281DC-55DC-E119-1EA0-E257C1EE4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23811</xdr:colOff>
      <xdr:row>250</xdr:row>
      <xdr:rowOff>142873</xdr:rowOff>
    </xdr:from>
    <xdr:to>
      <xdr:col>20</xdr:col>
      <xdr:colOff>77390</xdr:colOff>
      <xdr:row>267</xdr:row>
      <xdr:rowOff>14286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3DEB9246-AD43-4843-814D-B71D37C5C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363140</xdr:colOff>
      <xdr:row>284</xdr:row>
      <xdr:rowOff>33337</xdr:rowOff>
    </xdr:from>
    <xdr:to>
      <xdr:col>11</xdr:col>
      <xdr:colOff>273844</xdr:colOff>
      <xdr:row>299</xdr:row>
      <xdr:rowOff>71437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893753C-F752-7235-C8FB-DD7C05150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255984</xdr:colOff>
      <xdr:row>308</xdr:row>
      <xdr:rowOff>45244</xdr:rowOff>
    </xdr:from>
    <xdr:to>
      <xdr:col>11</xdr:col>
      <xdr:colOff>238125</xdr:colOff>
      <xdr:row>322</xdr:row>
      <xdr:rowOff>95250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61C213C-F666-459E-CB27-B3A75C424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65483</xdr:colOff>
      <xdr:row>330</xdr:row>
      <xdr:rowOff>92869</xdr:rowOff>
    </xdr:from>
    <xdr:to>
      <xdr:col>11</xdr:col>
      <xdr:colOff>214311</xdr:colOff>
      <xdr:row>345</xdr:row>
      <xdr:rowOff>130969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5AC225E-9A73-F6BE-A508-40829CD7D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416719</xdr:colOff>
      <xdr:row>154</xdr:row>
      <xdr:rowOff>119062</xdr:rowOff>
    </xdr:from>
    <xdr:to>
      <xdr:col>20</xdr:col>
      <xdr:colOff>315516</xdr:colOff>
      <xdr:row>169</xdr:row>
      <xdr:rowOff>169068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74ABE2C-048A-4941-8ED0-5BDE78980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291354</xdr:colOff>
      <xdr:row>860</xdr:row>
      <xdr:rowOff>134471</xdr:rowOff>
    </xdr:from>
    <xdr:to>
      <xdr:col>25</xdr:col>
      <xdr:colOff>271021</xdr:colOff>
      <xdr:row>895</xdr:row>
      <xdr:rowOff>47924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5670B6-5CF6-4F50-8902-7356EE17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5835" y="110093965"/>
          <a:ext cx="10883983" cy="63277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81642</xdr:colOff>
      <xdr:row>69</xdr:row>
      <xdr:rowOff>186417</xdr:rowOff>
    </xdr:from>
    <xdr:to>
      <xdr:col>12</xdr:col>
      <xdr:colOff>353785</xdr:colOff>
      <xdr:row>85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68036</xdr:colOff>
      <xdr:row>88</xdr:row>
      <xdr:rowOff>0</xdr:rowOff>
    </xdr:from>
    <xdr:to>
      <xdr:col>13</xdr:col>
      <xdr:colOff>721178</xdr:colOff>
      <xdr:row>103</xdr:row>
      <xdr:rowOff>126547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81643</xdr:colOff>
      <xdr:row>105</xdr:row>
      <xdr:rowOff>13607</xdr:rowOff>
    </xdr:from>
    <xdr:to>
      <xdr:col>13</xdr:col>
      <xdr:colOff>734785</xdr:colOff>
      <xdr:row>120</xdr:row>
      <xdr:rowOff>140154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571499</xdr:colOff>
      <xdr:row>16</xdr:row>
      <xdr:rowOff>9523</xdr:rowOff>
    </xdr:from>
    <xdr:to>
      <xdr:col>25</xdr:col>
      <xdr:colOff>408215</xdr:colOff>
      <xdr:row>35</xdr:row>
      <xdr:rowOff>163285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435429</xdr:colOff>
      <xdr:row>2</xdr:row>
      <xdr:rowOff>108858</xdr:rowOff>
    </xdr:from>
    <xdr:to>
      <xdr:col>33</xdr:col>
      <xdr:colOff>272143</xdr:colOff>
      <xdr:row>20</xdr:row>
      <xdr:rowOff>108857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299356</xdr:colOff>
      <xdr:row>90</xdr:row>
      <xdr:rowOff>63952</xdr:rowOff>
    </xdr:from>
    <xdr:to>
      <xdr:col>21</xdr:col>
      <xdr:colOff>585106</xdr:colOff>
      <xdr:row>104</xdr:row>
      <xdr:rowOff>140152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163285</xdr:colOff>
      <xdr:row>131</xdr:row>
      <xdr:rowOff>50345</xdr:rowOff>
    </xdr:from>
    <xdr:to>
      <xdr:col>9</xdr:col>
      <xdr:colOff>190500</xdr:colOff>
      <xdr:row>145</xdr:row>
      <xdr:rowOff>126545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131</xdr:row>
      <xdr:rowOff>40822</xdr:rowOff>
    </xdr:from>
    <xdr:to>
      <xdr:col>17</xdr:col>
      <xdr:colOff>462643</xdr:colOff>
      <xdr:row>145</xdr:row>
      <xdr:rowOff>117022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149679</xdr:colOff>
      <xdr:row>146</xdr:row>
      <xdr:rowOff>54428</xdr:rowOff>
    </xdr:from>
    <xdr:to>
      <xdr:col>9</xdr:col>
      <xdr:colOff>204108</xdr:colOff>
      <xdr:row>164</xdr:row>
      <xdr:rowOff>190500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0</xdr:colOff>
      <xdr:row>146</xdr:row>
      <xdr:rowOff>81643</xdr:rowOff>
    </xdr:from>
    <xdr:to>
      <xdr:col>17</xdr:col>
      <xdr:colOff>462643</xdr:colOff>
      <xdr:row>165</xdr:row>
      <xdr:rowOff>54428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299357</xdr:colOff>
      <xdr:row>74</xdr:row>
      <xdr:rowOff>104775</xdr:rowOff>
    </xdr:from>
    <xdr:to>
      <xdr:col>21</xdr:col>
      <xdr:colOff>585107</xdr:colOff>
      <xdr:row>88</xdr:row>
      <xdr:rowOff>180975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108858</xdr:colOff>
      <xdr:row>0</xdr:row>
      <xdr:rowOff>36739</xdr:rowOff>
    </xdr:from>
    <xdr:to>
      <xdr:col>24</xdr:col>
      <xdr:colOff>544286</xdr:colOff>
      <xdr:row>15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31</xdr:col>
      <xdr:colOff>336468</xdr:colOff>
      <xdr:row>48</xdr:row>
      <xdr:rowOff>164521</xdr:rowOff>
    </xdr:from>
    <xdr:to>
      <xdr:col>38</xdr:col>
      <xdr:colOff>599951</xdr:colOff>
      <xdr:row>67</xdr:row>
      <xdr:rowOff>123700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204108</xdr:colOff>
      <xdr:row>167</xdr:row>
      <xdr:rowOff>172810</xdr:rowOff>
    </xdr:from>
    <xdr:to>
      <xdr:col>15</xdr:col>
      <xdr:colOff>503464</xdr:colOff>
      <xdr:row>184</xdr:row>
      <xdr:rowOff>136072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204107</xdr:colOff>
      <xdr:row>187</xdr:row>
      <xdr:rowOff>0</xdr:rowOff>
    </xdr:from>
    <xdr:to>
      <xdr:col>15</xdr:col>
      <xdr:colOff>503463</xdr:colOff>
      <xdr:row>203</xdr:row>
      <xdr:rowOff>153762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353786</xdr:colOff>
      <xdr:row>216</xdr:row>
      <xdr:rowOff>149678</xdr:rowOff>
    </xdr:from>
    <xdr:to>
      <xdr:col>14</xdr:col>
      <xdr:colOff>149679</xdr:colOff>
      <xdr:row>232</xdr:row>
      <xdr:rowOff>95250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530678</xdr:colOff>
      <xdr:row>237</xdr:row>
      <xdr:rowOff>40821</xdr:rowOff>
    </xdr:from>
    <xdr:to>
      <xdr:col>17</xdr:col>
      <xdr:colOff>81643</xdr:colOff>
      <xdr:row>253</xdr:row>
      <xdr:rowOff>122463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408215</xdr:colOff>
      <xdr:row>275</xdr:row>
      <xdr:rowOff>23132</xdr:rowOff>
    </xdr:from>
    <xdr:to>
      <xdr:col>15</xdr:col>
      <xdr:colOff>421821</xdr:colOff>
      <xdr:row>290</xdr:row>
      <xdr:rowOff>68036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</xdr:col>
      <xdr:colOff>0</xdr:colOff>
      <xdr:row>275</xdr:row>
      <xdr:rowOff>95250</xdr:rowOff>
    </xdr:from>
    <xdr:to>
      <xdr:col>22</xdr:col>
      <xdr:colOff>557892</xdr:colOff>
      <xdr:row>290</xdr:row>
      <xdr:rowOff>44904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476250</xdr:colOff>
      <xdr:row>294</xdr:row>
      <xdr:rowOff>149678</xdr:rowOff>
    </xdr:from>
    <xdr:to>
      <xdr:col>17</xdr:col>
      <xdr:colOff>27214</xdr:colOff>
      <xdr:row>308</xdr:row>
      <xdr:rowOff>163286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313</xdr:row>
      <xdr:rowOff>0</xdr:rowOff>
    </xdr:from>
    <xdr:to>
      <xdr:col>16</xdr:col>
      <xdr:colOff>163286</xdr:colOff>
      <xdr:row>324</xdr:row>
      <xdr:rowOff>126547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319767</xdr:colOff>
      <xdr:row>332</xdr:row>
      <xdr:rowOff>149678</xdr:rowOff>
    </xdr:from>
    <xdr:to>
      <xdr:col>17</xdr:col>
      <xdr:colOff>61231</xdr:colOff>
      <xdr:row>348</xdr:row>
      <xdr:rowOff>174172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17</xdr:col>
      <xdr:colOff>40821</xdr:colOff>
      <xdr:row>351</xdr:row>
      <xdr:rowOff>68037</xdr:rowOff>
    </xdr:from>
    <xdr:to>
      <xdr:col>22</xdr:col>
      <xdr:colOff>517071</xdr:colOff>
      <xdr:row>367</xdr:row>
      <xdr:rowOff>95250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11</xdr:col>
      <xdr:colOff>68035</xdr:colOff>
      <xdr:row>389</xdr:row>
      <xdr:rowOff>40821</xdr:rowOff>
    </xdr:from>
    <xdr:to>
      <xdr:col>17</xdr:col>
      <xdr:colOff>353785</xdr:colOff>
      <xdr:row>402</xdr:row>
      <xdr:rowOff>108856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136071</xdr:colOff>
      <xdr:row>411</xdr:row>
      <xdr:rowOff>91166</xdr:rowOff>
    </xdr:from>
    <xdr:to>
      <xdr:col>5</xdr:col>
      <xdr:colOff>231321</xdr:colOff>
      <xdr:row>428</xdr:row>
      <xdr:rowOff>176893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</xdr:col>
      <xdr:colOff>1</xdr:colOff>
      <xdr:row>219</xdr:row>
      <xdr:rowOff>27214</xdr:rowOff>
    </xdr:from>
    <xdr:to>
      <xdr:col>22</xdr:col>
      <xdr:colOff>136071</xdr:colOff>
      <xdr:row>233</xdr:row>
      <xdr:rowOff>149678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32</xdr:col>
      <xdr:colOff>80405</xdr:colOff>
      <xdr:row>22</xdr:row>
      <xdr:rowOff>144359</xdr:rowOff>
    </xdr:from>
    <xdr:to>
      <xdr:col>38</xdr:col>
      <xdr:colOff>543047</xdr:colOff>
      <xdr:row>44</xdr:row>
      <xdr:rowOff>12369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35</xdr:col>
      <xdr:colOff>122465</xdr:colOff>
      <xdr:row>37</xdr:row>
      <xdr:rowOff>13607</xdr:rowOff>
    </xdr:from>
    <xdr:to>
      <xdr:col>41</xdr:col>
      <xdr:colOff>449037</xdr:colOff>
      <xdr:row>59</xdr:row>
      <xdr:rowOff>44904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163285</xdr:colOff>
      <xdr:row>459</xdr:row>
      <xdr:rowOff>77559</xdr:rowOff>
    </xdr:from>
    <xdr:to>
      <xdr:col>11</xdr:col>
      <xdr:colOff>204107</xdr:colOff>
      <xdr:row>473</xdr:row>
      <xdr:rowOff>153759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0</xdr:colOff>
      <xdr:row>476</xdr:row>
      <xdr:rowOff>0</xdr:rowOff>
    </xdr:from>
    <xdr:to>
      <xdr:col>11</xdr:col>
      <xdr:colOff>40822</xdr:colOff>
      <xdr:row>490</xdr:row>
      <xdr:rowOff>76200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285749</xdr:colOff>
      <xdr:row>351</xdr:row>
      <xdr:rowOff>104775</xdr:rowOff>
    </xdr:from>
    <xdr:to>
      <xdr:col>16</xdr:col>
      <xdr:colOff>40820</xdr:colOff>
      <xdr:row>367</xdr:row>
      <xdr:rowOff>149679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394607</xdr:colOff>
      <xdr:row>809</xdr:row>
      <xdr:rowOff>95249</xdr:rowOff>
    </xdr:from>
    <xdr:to>
      <xdr:col>22</xdr:col>
      <xdr:colOff>95251</xdr:colOff>
      <xdr:row>822</xdr:row>
      <xdr:rowOff>95249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</xdr:col>
      <xdr:colOff>408216</xdr:colOff>
      <xdr:row>837</xdr:row>
      <xdr:rowOff>9524</xdr:rowOff>
    </xdr:from>
    <xdr:to>
      <xdr:col>9</xdr:col>
      <xdr:colOff>408216</xdr:colOff>
      <xdr:row>854</xdr:row>
      <xdr:rowOff>68035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11</xdr:col>
      <xdr:colOff>0</xdr:colOff>
      <xdr:row>837</xdr:row>
      <xdr:rowOff>0</xdr:rowOff>
    </xdr:from>
    <xdr:to>
      <xdr:col>17</xdr:col>
      <xdr:colOff>394607</xdr:colOff>
      <xdr:row>854</xdr:row>
      <xdr:rowOff>58511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11</xdr:col>
      <xdr:colOff>54429</xdr:colOff>
      <xdr:row>861</xdr:row>
      <xdr:rowOff>172810</xdr:rowOff>
    </xdr:from>
    <xdr:to>
      <xdr:col>16</xdr:col>
      <xdr:colOff>204107</xdr:colOff>
      <xdr:row>876</xdr:row>
      <xdr:rowOff>58510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190500</xdr:colOff>
      <xdr:row>884</xdr:row>
      <xdr:rowOff>36739</xdr:rowOff>
    </xdr:from>
    <xdr:to>
      <xdr:col>13</xdr:col>
      <xdr:colOff>40821</xdr:colOff>
      <xdr:row>898</xdr:row>
      <xdr:rowOff>112939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7</xdr:col>
      <xdr:colOff>0</xdr:colOff>
      <xdr:row>900</xdr:row>
      <xdr:rowOff>0</xdr:rowOff>
    </xdr:from>
    <xdr:to>
      <xdr:col>12</xdr:col>
      <xdr:colOff>449035</xdr:colOff>
      <xdr:row>914</xdr:row>
      <xdr:rowOff>76200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19</xdr:col>
      <xdr:colOff>272142</xdr:colOff>
      <xdr:row>620</xdr:row>
      <xdr:rowOff>81642</xdr:rowOff>
    </xdr:from>
    <xdr:to>
      <xdr:col>27</xdr:col>
      <xdr:colOff>459285</xdr:colOff>
      <xdr:row>646</xdr:row>
      <xdr:rowOff>15352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7A5D2DC-2F54-4642-A24F-D59DD0AE6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572999" y="117266356"/>
          <a:ext cx="5085714" cy="5238095"/>
        </a:xfrm>
        <a:prstGeom prst="rect">
          <a:avLst/>
        </a:prstGeom>
      </xdr:spPr>
    </xdr:pic>
    <xdr:clientData/>
  </xdr:twoCellAnchor>
  <xdr:twoCellAnchor editAs="oneCell">
    <xdr:from>
      <xdr:col>17</xdr:col>
      <xdr:colOff>299357</xdr:colOff>
      <xdr:row>648</xdr:row>
      <xdr:rowOff>108858</xdr:rowOff>
    </xdr:from>
    <xdr:to>
      <xdr:col>25</xdr:col>
      <xdr:colOff>785</xdr:colOff>
      <xdr:row>662</xdr:row>
      <xdr:rowOff>127548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5B5CC42-7DB7-4F65-8ABA-48FE03902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375571" y="123199072"/>
          <a:ext cx="4600000" cy="287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666</xdr:row>
      <xdr:rowOff>0</xdr:rowOff>
    </xdr:from>
    <xdr:to>
      <xdr:col>36</xdr:col>
      <xdr:colOff>337858</xdr:colOff>
      <xdr:row>685</xdr:row>
      <xdr:rowOff>64819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642D77E-ABED-4F48-A172-F87EB11E1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362464" y="124518964"/>
          <a:ext cx="7685714" cy="3942857"/>
        </a:xfrm>
        <a:prstGeom prst="rect">
          <a:avLst/>
        </a:prstGeom>
      </xdr:spPr>
    </xdr:pic>
    <xdr:clientData/>
  </xdr:twoCellAnchor>
  <xdr:twoCellAnchor editAs="oneCell">
    <xdr:from>
      <xdr:col>30</xdr:col>
      <xdr:colOff>81642</xdr:colOff>
      <xdr:row>637</xdr:row>
      <xdr:rowOff>108857</xdr:rowOff>
    </xdr:from>
    <xdr:to>
      <xdr:col>42</xdr:col>
      <xdr:colOff>562357</xdr:colOff>
      <xdr:row>654</xdr:row>
      <xdr:rowOff>29513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AF79F7B2-3120-4D0F-9BB7-5FF287552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118035" y="120953893"/>
          <a:ext cx="7828571" cy="3390476"/>
        </a:xfrm>
        <a:prstGeom prst="rect">
          <a:avLst/>
        </a:prstGeom>
      </xdr:spPr>
    </xdr:pic>
    <xdr:clientData/>
  </xdr:twoCellAnchor>
  <xdr:twoCellAnchor editAs="oneCell">
    <xdr:from>
      <xdr:col>31</xdr:col>
      <xdr:colOff>95249</xdr:colOff>
      <xdr:row>620</xdr:row>
      <xdr:rowOff>149679</xdr:rowOff>
    </xdr:from>
    <xdr:to>
      <xdr:col>43</xdr:col>
      <xdr:colOff>433105</xdr:colOff>
      <xdr:row>636</xdr:row>
      <xdr:rowOff>3696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B8F5DEFC-7725-42D3-9835-26FBBD8DE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743963" y="117334393"/>
          <a:ext cx="7685714" cy="3085714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688</xdr:row>
      <xdr:rowOff>0</xdr:rowOff>
    </xdr:from>
    <xdr:to>
      <xdr:col>37</xdr:col>
      <xdr:colOff>521605</xdr:colOff>
      <xdr:row>705</xdr:row>
      <xdr:rowOff>93451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8BDC7AE-FFD1-40E0-BCC3-91D9C2C04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6587107" y="128805214"/>
          <a:ext cx="7257143" cy="3495238"/>
        </a:xfrm>
        <a:prstGeom prst="rect">
          <a:avLst/>
        </a:prstGeom>
      </xdr:spPr>
    </xdr:pic>
    <xdr:clientData/>
  </xdr:twoCellAnchor>
  <xdr:twoCellAnchor>
    <xdr:from>
      <xdr:col>14</xdr:col>
      <xdr:colOff>435829</xdr:colOff>
      <xdr:row>1005</xdr:row>
      <xdr:rowOff>163287</xdr:rowOff>
    </xdr:from>
    <xdr:to>
      <xdr:col>22</xdr:col>
      <xdr:colOff>394607</xdr:colOff>
      <xdr:row>1026</xdr:row>
      <xdr:rowOff>81643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AAE15CE9-FCAE-45DA-A2A1-DE5232AAD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15</xdr:col>
      <xdr:colOff>410215</xdr:colOff>
      <xdr:row>1030</xdr:row>
      <xdr:rowOff>121583</xdr:rowOff>
    </xdr:from>
    <xdr:to>
      <xdr:col>21</xdr:col>
      <xdr:colOff>36820</xdr:colOff>
      <xdr:row>1044</xdr:row>
      <xdr:rowOff>158484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4380A073-A44A-4FEA-84E8-B6E832B45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6</xdr:col>
      <xdr:colOff>658586</xdr:colOff>
      <xdr:row>1176</xdr:row>
      <xdr:rowOff>155121</xdr:rowOff>
    </xdr:from>
    <xdr:to>
      <xdr:col>15</xdr:col>
      <xdr:colOff>16329</xdr:colOff>
      <xdr:row>1196</xdr:row>
      <xdr:rowOff>146957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BF5A4C35-1B9C-E07D-480E-B6A929752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eqt08\TELECOM\TELECOM\EXCEL\FIXED\Old\KPN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ELECOMS/STOCKS/ASIA%20(ex-Japan)%20Internet/Tech%20analyser%20v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b24506\restore\23010101\TELC\TELCOS\UK\BT\NEWERA\BTMODEL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K_OKOK/Bud_rapp/MNDRAPP/2000/0004/Utrapportert/pres0004%20Business%20Solut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ell-Us%20Adm-Store-Kunder/&#216;konomi/Periodeavslutning/Res%20Kundedimensjon%202002P2%20EBITD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TAB-U2-50-002\DATA1\KOE\KATALOG\GENERELL\ARKIV-ID\TTSEFJ\AARSPAK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jsv002\user%20folder2\Planning\FLASH%20SUMMARY\050912%20Flash%20Daily%20Report\Back%20Up&#29992;\Back%20Up&#29992;\EMM%20%20&#23455;&#32318;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TELCO/MODELS/Emerging/TPSA_WI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ble\finance\TAX51A\COBB\EXCEL\CASHFLOW\2005\1st%20Qtr%202005\FAS%20115%20Tax%201Q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jsv002\user%20folder2\Accounting\&#20104;&#23455;&#38306;&#36899;\_FY06&#20104;&#23455;\_Reporting\_&#12381;&#12398;&#20182;BS&#12539;CF&#12539;Inventory\&#12381;&#12398;&#20182;&#12524;&#12509;&#12540;&#12488;&#12501;&#12449;&#12452;&#12523;-&#26368;&#26032;&#2925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ble\corp-dfs\Financial%20Planning\REPORTING\2016\1Q16\Below%20the%20Line\Support\Net_IncomeBridg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dcfil02\CHQ_users\ghorn00\My%20Documents\VoIP%20Model\Cisco%20VoIP%20Model%20v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ble\Documents%20and%20Settings\PurvisR\Local%20Settings\Temporary%20Internet%20Files\OLK7F\Documents%20and%20Settings\PreeceS\Local%20Settings\Temporary%20Internet%20Files\OLK22\Overhead%20Consolidation%20December%20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jsv002\user%20folder2\Accounting\&#20104;&#23455;&#38306;&#36899;\_FY04&#20104;&#23455;\_&#12381;&#12398;&#20182;\200405&#35211;&#36796;&#12415;&#1238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jsv002\user%20folder2\Accounting\&#20104;&#23455;&#38306;&#36899;\_FY06&#20104;&#23455;\_Reporting\_PL&#38306;&#36899;\FY06_&#37096;&#38263;&#20250;&#29992;&#36039;&#26009;&#20316;&#25104;&#65420;&#65383;&#65394;&#65433;-&#26368;&#26032;&#2925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Country%20models\workspace\fixed%20seeds%20v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3\common\CORPACCT\Financial%20Reporting\SEC\FORM10-Q\2004\3Q%202004\Corporate\workpapers\Debt%20Report%209-30-2004%20FIN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jsv002\user%20folder2\Accounting\&#20104;&#23455;&#38306;&#36899;\_FY05&#20104;&#23455;\_Package\&#20840;&#31038;&#65381;&#37096;&#21029;&#22522;&#30990;Data&#21152;&#24037;&#20966;&#29702;_&#26368;&#26032;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539562/Local%20Settings/Temporary%20Internet%20Files/OLK9/&#216;k%20per%20kontrakt%20-%20tapsavsetni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TOCKS/EUROPE/Norway/TNOR/Models/Current/TNOR_curr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TOCKS/EUROPE/UK/BT/Models/Current/BT5%20Broadband%20Scenari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LECOMS/STOCKS/EMEA/South%20Africa/Telkom%20SA/Model/WIP%20Model/STOCKS/EMEA/South%20Africa/MTN/Model/STOCKS/EUROPE/UK/BT/Models/Current/BT5%20Broadband%20Scenari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oe/Katalog/RAPPORT/Mnd-00/Diverse/maler/Rapportpakke%20Excel%20kvart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TOCKS/EUROPE/UK/VOD/Models/Current/Vodafone(2sep03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r-fp1\shared\STOCKS\EUROPE\UK\VOD\Models\Current\Vodafone(2sep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N"/>
      <sheetName val="REVENUES"/>
      <sheetName val="KPNMODEL"/>
      <sheetName val="KPNCASH"/>
      <sheetName val="Analytics"/>
      <sheetName val="Imports"/>
      <sheetName val="MOBILE"/>
      <sheetName val="MOBDCF"/>
      <sheetName val="POSTVAL"/>
      <sheetName val="TNT"/>
      <sheetName val="KPNSUM"/>
      <sheetName val="TELDCF"/>
      <sheetName val="COC"/>
      <sheetName val="SHARES"/>
      <sheetName val="MRS data"/>
      <sheetName val="report imports"/>
      <sheetName val="Data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TOW"/>
      <sheetName val="MELI"/>
      <sheetName val="BAI"/>
      <sheetName val="TC"/>
      <sheetName val="QH"/>
      <sheetName val="REN"/>
      <sheetName val="SINA"/>
      <sheetName val="WB"/>
      <sheetName val="CA"/>
      <sheetName val="DNA"/>
      <sheetName val="GR"/>
      <sheetName val="NEX"/>
      <sheetName val="RAK"/>
      <sheetName val="YJP"/>
      <sheetName val="BTOW1"/>
      <sheetName val="MELI1"/>
      <sheetName val="BAI1"/>
      <sheetName val="TC1"/>
      <sheetName val="QH1"/>
      <sheetName val="REN1"/>
      <sheetName val="SINA1"/>
      <sheetName val="WB1"/>
      <sheetName val="CA1"/>
      <sheetName val="DNA1"/>
      <sheetName val="GR1"/>
      <sheetName val="NEX1"/>
      <sheetName val="RAK1"/>
      <sheetName val="YJP1"/>
      <sheetName val="Global comps"/>
      <sheetName val="Consensus data"/>
      <sheetName val="Share prices"/>
    </sheetNames>
    <sheetDataSet>
      <sheetData sheetId="0">
        <row r="84">
          <cell r="C84">
            <v>1.52207</v>
          </cell>
        </row>
        <row r="86">
          <cell r="C86">
            <v>2.2357999999999998</v>
          </cell>
        </row>
        <row r="87">
          <cell r="C87">
            <v>99.71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1">
          <cell r="C41">
            <v>0.39643310566492568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link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VEDMENY"/>
      <sheetName val="Omsres"/>
      <sheetName val="BUS SOL Årsverk og ansatte"/>
      <sheetName val="Årsverk og ansatte"/>
      <sheetName val="InvesteringerBUS SOL"/>
      <sheetName val="Investeringer"/>
      <sheetName val="Business Sol"/>
      <sheetName val="Annualiseringstabell"/>
      <sheetName val="Oms.avvik (2)"/>
      <sheetName val="Driftsinntekter"/>
      <sheetName val="Res.avvik (2)"/>
      <sheetName val="Res. før skatt"/>
      <sheetName val="SKILLEARK"/>
      <sheetName val="Årsverk"/>
      <sheetName val="Res. et. felleskost (2)"/>
      <sheetName val=" UTSTYR"/>
      <sheetName val="BD_KOMM."/>
      <sheetName val="BD_KOMM. (2)"/>
      <sheetName val="SI STORK"/>
      <sheetName val=" BASIS"/>
      <sheetName val="DATAN."/>
      <sheetName val="BK_TALE"/>
      <sheetName val=" DKL"/>
      <sheetName val="IDT"/>
      <sheetName val="DR.TJ"/>
      <sheetName val="SENT.ENH"/>
      <sheetName val="TELF.SELSK"/>
      <sheetName val="Elimineringer"/>
      <sheetName val="Res.avvik"/>
      <sheetName val="Oms.avvik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 t="str">
            <v>Denne periode</v>
          </cell>
          <cell r="I8" t="str">
            <v>Hittil i år</v>
          </cell>
          <cell r="K8" t="str">
            <v xml:space="preserve">Årsbudsjett </v>
          </cell>
        </row>
        <row r="10">
          <cell r="A10" t="str">
            <v>Mill. kr.</v>
          </cell>
          <cell r="E10" t="str">
            <v>F04</v>
          </cell>
          <cell r="F10" t="str">
            <v>B04</v>
          </cell>
          <cell r="G10" t="str">
            <v>Avvik</v>
          </cell>
          <cell r="H10" t="str">
            <v>F04</v>
          </cell>
          <cell r="I10" t="str">
            <v>B04</v>
          </cell>
          <cell r="J10" t="str">
            <v>Avvik</v>
          </cell>
          <cell r="K10">
            <v>2000</v>
          </cell>
        </row>
        <row r="12">
          <cell r="A12" t="str">
            <v>Eksterne driftsinntekter</v>
          </cell>
          <cell r="E12">
            <v>91.320999999999998</v>
          </cell>
          <cell r="F12">
            <v>136.584</v>
          </cell>
          <cell r="G12">
            <v>-45.263000000000005</v>
          </cell>
          <cell r="H12">
            <v>372.24400000000003</v>
          </cell>
          <cell r="I12">
            <v>486.55200000000002</v>
          </cell>
          <cell r="J12">
            <v>-114.30799999999999</v>
          </cell>
          <cell r="K12">
            <v>1759.3979999999999</v>
          </cell>
        </row>
        <row r="13">
          <cell r="A13" t="str">
            <v>Driftsinntekter innen Telenor</v>
          </cell>
          <cell r="E13">
            <v>81.988</v>
          </cell>
          <cell r="F13">
            <v>119.511</v>
          </cell>
          <cell r="G13">
            <v>-37.522999999999996</v>
          </cell>
          <cell r="H13">
            <v>375.31900000000002</v>
          </cell>
          <cell r="I13">
            <v>459.3</v>
          </cell>
          <cell r="J13">
            <v>-83.980999999999995</v>
          </cell>
          <cell r="K13">
            <v>1552.173</v>
          </cell>
        </row>
        <row r="14">
          <cell r="A14" t="str">
            <v>Driftsinntekter innen Business Solution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Gevinst ved salg av VDM og virksomhet eksternt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SUM OMSETNING</v>
          </cell>
          <cell r="E16">
            <v>173.309</v>
          </cell>
          <cell r="F16">
            <v>256.09500000000003</v>
          </cell>
          <cell r="G16">
            <v>-82.786000000000001</v>
          </cell>
          <cell r="H16">
            <v>747.5630000000001</v>
          </cell>
          <cell r="I16">
            <v>945.85200000000009</v>
          </cell>
          <cell r="J16">
            <v>-198.28899999999999</v>
          </cell>
          <cell r="K16">
            <v>3311.5709999999999</v>
          </cell>
        </row>
        <row r="18">
          <cell r="A18" t="str">
            <v>Eksterne vare- og trafikkostnader</v>
          </cell>
          <cell r="E18">
            <v>82.016000000000005</v>
          </cell>
          <cell r="F18">
            <v>139.30600000000001</v>
          </cell>
          <cell r="G18">
            <v>57.290000000000006</v>
          </cell>
          <cell r="H18">
            <v>378.68400000000003</v>
          </cell>
          <cell r="I18">
            <v>517.95600000000002</v>
          </cell>
          <cell r="J18">
            <v>139.27199999999999</v>
          </cell>
          <cell r="K18">
            <v>1788.82</v>
          </cell>
        </row>
        <row r="19">
          <cell r="A19" t="str">
            <v>Vare- og trafikkostnad innen Telenor</v>
          </cell>
          <cell r="E19">
            <v>27.591999999999999</v>
          </cell>
          <cell r="F19">
            <v>30.11</v>
          </cell>
          <cell r="G19">
            <v>2.5180000000000007</v>
          </cell>
          <cell r="H19">
            <v>123.145</v>
          </cell>
          <cell r="I19">
            <v>115.96299999999999</v>
          </cell>
          <cell r="J19">
            <v>-7.1820000000000022</v>
          </cell>
          <cell r="K19">
            <v>393.41800000000001</v>
          </cell>
        </row>
        <row r="20">
          <cell r="A20" t="str">
            <v>Vare- og trafikkostnad innen Business Solution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SUM VAREKOST</v>
          </cell>
          <cell r="E21">
            <v>109.608</v>
          </cell>
          <cell r="F21">
            <v>169.416</v>
          </cell>
          <cell r="G21">
            <v>59.808000000000007</v>
          </cell>
          <cell r="H21">
            <v>501.82900000000001</v>
          </cell>
          <cell r="I21">
            <v>633.91899999999998</v>
          </cell>
          <cell r="J21">
            <v>132.08999999999997</v>
          </cell>
          <cell r="K21">
            <v>2182.2379999999998</v>
          </cell>
        </row>
        <row r="23">
          <cell r="A23" t="str">
            <v>DEKNINGSBIDRAG</v>
          </cell>
          <cell r="E23">
            <v>63.700999999999993</v>
          </cell>
          <cell r="F23">
            <v>86.67900000000003</v>
          </cell>
          <cell r="G23">
            <v>-22.978000000000037</v>
          </cell>
          <cell r="H23">
            <v>245.73400000000009</v>
          </cell>
          <cell r="I23">
            <v>311.93300000000011</v>
          </cell>
          <cell r="J23">
            <v>-66.199000000000012</v>
          </cell>
          <cell r="K23">
            <v>1129.3330000000001</v>
          </cell>
        </row>
        <row r="25">
          <cell r="A25" t="str">
            <v>Beh.endring egentilvirkede amidl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>Lønns- og personalkostnader eksternt</v>
          </cell>
          <cell r="E26">
            <v>56.027000000000001</v>
          </cell>
          <cell r="F26">
            <v>61.064999999999998</v>
          </cell>
          <cell r="G26">
            <v>5.0379999999999967</v>
          </cell>
          <cell r="H26">
            <v>224.292</v>
          </cell>
          <cell r="I26">
            <v>248.75700000000001</v>
          </cell>
          <cell r="J26">
            <v>24.465000000000003</v>
          </cell>
          <cell r="K26">
            <v>726.31299999999999</v>
          </cell>
        </row>
        <row r="27">
          <cell r="A27" t="str">
            <v>Lønns- og personalkostnader innen Telenor</v>
          </cell>
          <cell r="E27">
            <v>-5.7000000000000002E-2</v>
          </cell>
          <cell r="F27">
            <v>0.94799999999999995</v>
          </cell>
          <cell r="G27">
            <v>1.0049999999999999</v>
          </cell>
          <cell r="H27">
            <v>3.2949999999999999</v>
          </cell>
          <cell r="I27">
            <v>3.746</v>
          </cell>
          <cell r="J27">
            <v>0.45100000000000007</v>
          </cell>
          <cell r="K27">
            <v>11.271000000000001</v>
          </cell>
        </row>
        <row r="28">
          <cell r="A28" t="str">
            <v>Lønns- og personalkostnader innen Business Solution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Andre eksterne driftskostnader</v>
          </cell>
          <cell r="E29">
            <v>18.728999999999999</v>
          </cell>
          <cell r="F29">
            <v>23.719000000000001</v>
          </cell>
          <cell r="G29">
            <v>4.990000000000002</v>
          </cell>
          <cell r="H29">
            <v>91.078000000000003</v>
          </cell>
          <cell r="I29">
            <v>105.411</v>
          </cell>
          <cell r="J29">
            <v>14.332999999999998</v>
          </cell>
          <cell r="K29">
            <v>303.50400000000002</v>
          </cell>
        </row>
        <row r="30">
          <cell r="A30" t="str">
            <v>Andre driftskostnader innen Telenor</v>
          </cell>
          <cell r="E30">
            <v>12.3</v>
          </cell>
          <cell r="F30">
            <v>15.862</v>
          </cell>
          <cell r="G30">
            <v>3.5619999999999994</v>
          </cell>
          <cell r="H30">
            <v>56.222999999999999</v>
          </cell>
          <cell r="I30">
            <v>58.762</v>
          </cell>
          <cell r="J30">
            <v>2.5390000000000015</v>
          </cell>
          <cell r="K30">
            <v>180.798</v>
          </cell>
        </row>
        <row r="31">
          <cell r="A31" t="str">
            <v>Andre driftskostnader innen Business Solution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Avskrivninger</v>
          </cell>
          <cell r="E32">
            <v>5.12</v>
          </cell>
          <cell r="F32">
            <v>6.6550000000000002</v>
          </cell>
          <cell r="G32">
            <v>1.5350000000000001</v>
          </cell>
          <cell r="H32">
            <v>20.376999999999999</v>
          </cell>
          <cell r="I32">
            <v>25.831</v>
          </cell>
          <cell r="J32">
            <v>5.4540000000000006</v>
          </cell>
          <cell r="K32">
            <v>84.128</v>
          </cell>
        </row>
        <row r="33">
          <cell r="A33" t="str">
            <v>Nedskrivninger</v>
          </cell>
        </row>
        <row r="34">
          <cell r="A34" t="str">
            <v>Tap ved salg av VDM og virksomhet eksternt</v>
          </cell>
        </row>
        <row r="35">
          <cell r="A35" t="str">
            <v>Sum Andre driftskostnader</v>
          </cell>
          <cell r="E35">
            <v>92.119</v>
          </cell>
          <cell r="F35">
            <v>108.249</v>
          </cell>
          <cell r="G35">
            <v>16.129999999999995</v>
          </cell>
          <cell r="H35">
            <v>395.26499999999999</v>
          </cell>
          <cell r="I35">
            <v>442.50700000000001</v>
          </cell>
          <cell r="J35">
            <v>47.242000000000004</v>
          </cell>
          <cell r="K35">
            <v>1306.0139999999999</v>
          </cell>
        </row>
        <row r="37">
          <cell r="A37" t="str">
            <v>DRIFTSRESULTAT</v>
          </cell>
          <cell r="E37">
            <v>-28.418000000000006</v>
          </cell>
          <cell r="F37">
            <v>-21.569999999999965</v>
          </cell>
          <cell r="G37">
            <v>-6.8480000000000416</v>
          </cell>
          <cell r="H37">
            <v>-149.53099999999989</v>
          </cell>
          <cell r="I37">
            <v>-130.5739999999999</v>
          </cell>
          <cell r="J37">
            <v>-18.956999999999994</v>
          </cell>
          <cell r="K37">
            <v>-176.68099999999981</v>
          </cell>
        </row>
        <row r="39">
          <cell r="A39" t="str">
            <v>Andel resultat tilknyttede selskaper</v>
          </cell>
          <cell r="E39">
            <v>-0.99299999999999999</v>
          </cell>
          <cell r="F39">
            <v>-0.16900000000000001</v>
          </cell>
          <cell r="G39">
            <v>-0.82399999999999995</v>
          </cell>
          <cell r="H39">
            <v>-3.2850000000000001</v>
          </cell>
          <cell r="I39">
            <v>-0.222</v>
          </cell>
          <cell r="J39">
            <v>-3.0630000000000002</v>
          </cell>
          <cell r="K39">
            <v>-4.4160000000000004</v>
          </cell>
        </row>
        <row r="41">
          <cell r="A41" t="str">
            <v>Eksterne finansinntekter</v>
          </cell>
          <cell r="E41">
            <v>0.85799999999999998</v>
          </cell>
          <cell r="F41">
            <v>0.03</v>
          </cell>
          <cell r="G41">
            <v>0.82799999999999996</v>
          </cell>
          <cell r="H41">
            <v>1.841</v>
          </cell>
          <cell r="I41">
            <v>0.12</v>
          </cell>
          <cell r="J41">
            <v>1.7210000000000001</v>
          </cell>
          <cell r="K41">
            <v>0.36</v>
          </cell>
        </row>
        <row r="42">
          <cell r="A42" t="str">
            <v>Finansinntekter innen Telenor</v>
          </cell>
          <cell r="E42">
            <v>1.8140000000000001</v>
          </cell>
          <cell r="F42">
            <v>0.66200000000000003</v>
          </cell>
          <cell r="G42">
            <v>1.1520000000000001</v>
          </cell>
          <cell r="H42">
            <v>6.95</v>
          </cell>
          <cell r="I42">
            <v>2.6459999999999999</v>
          </cell>
          <cell r="J42">
            <v>4.3040000000000003</v>
          </cell>
          <cell r="K42">
            <v>7.9379999999999988</v>
          </cell>
        </row>
        <row r="43">
          <cell r="A43" t="str">
            <v>Gevinst ved salg av finansielle omløpsmidler og anleggsmidler eksternt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Eksterne finanskostnader</v>
          </cell>
          <cell r="E44">
            <v>-1.8009999999999999</v>
          </cell>
          <cell r="F44">
            <v>-2.9000000000000001E-2</v>
          </cell>
          <cell r="G44">
            <v>-1.772</v>
          </cell>
          <cell r="H44">
            <v>-5.2569999999999997</v>
          </cell>
          <cell r="I44">
            <v>-0.11799999999999999</v>
          </cell>
          <cell r="J44">
            <v>-5.1389999999999993</v>
          </cell>
          <cell r="K44">
            <v>-0.35499999999999998</v>
          </cell>
        </row>
        <row r="45">
          <cell r="A45" t="str">
            <v>Finanskostnader innen Telenor</v>
          </cell>
          <cell r="E45">
            <v>-0.67900000000000005</v>
          </cell>
          <cell r="F45">
            <v>0</v>
          </cell>
          <cell r="G45">
            <v>-0.67900000000000005</v>
          </cell>
          <cell r="H45">
            <v>-1.7390000000000001</v>
          </cell>
          <cell r="I45">
            <v>0</v>
          </cell>
          <cell r="J45">
            <v>-1.7390000000000001</v>
          </cell>
          <cell r="K45">
            <v>0</v>
          </cell>
        </row>
        <row r="46">
          <cell r="A46" t="str">
            <v>Tap ved salg av finansielle omløpsmidler og anleggsmidler eksternt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 t="str">
            <v>Netto finansposter</v>
          </cell>
          <cell r="E47">
            <v>0.19200000000000017</v>
          </cell>
          <cell r="F47">
            <v>0.66300000000000003</v>
          </cell>
          <cell r="G47">
            <v>-0.47099999999999986</v>
          </cell>
          <cell r="H47">
            <v>1.7950000000000006</v>
          </cell>
          <cell r="I47">
            <v>2.6480000000000001</v>
          </cell>
          <cell r="J47">
            <v>-0.85299999999999954</v>
          </cell>
          <cell r="K47">
            <v>7.9429999999999978</v>
          </cell>
        </row>
        <row r="49">
          <cell r="A49" t="str">
            <v>RESULTAT FØR FORDELTE FELLESKOSTNADER</v>
          </cell>
          <cell r="E49">
            <v>-29.219000000000005</v>
          </cell>
          <cell r="F49">
            <v>-21.075999999999965</v>
          </cell>
          <cell r="G49">
            <v>-8.1430000000000415</v>
          </cell>
          <cell r="H49">
            <v>-151.0209999999999</v>
          </cell>
          <cell r="I49">
            <v>-128.14799999999991</v>
          </cell>
          <cell r="J49">
            <v>-22.87299999999999</v>
          </cell>
        </row>
        <row r="51">
          <cell r="A51" t="str">
            <v>Fordelte felleskostnader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3">
          <cell r="A53" t="str">
            <v>RESULTAT FØR SKATT</v>
          </cell>
          <cell r="E53">
            <v>-29.219000000000005</v>
          </cell>
          <cell r="F53">
            <v>-21.075999999999965</v>
          </cell>
          <cell r="G53">
            <v>-8.1430000000000415</v>
          </cell>
          <cell r="H53">
            <v>-151.0209999999999</v>
          </cell>
          <cell r="I53">
            <v>-128.14799999999991</v>
          </cell>
          <cell r="J53">
            <v>-22.87299999999999</v>
          </cell>
          <cell r="K53">
            <v>-173.15399999999983</v>
          </cell>
        </row>
        <row r="55">
          <cell r="A55" t="str">
            <v>Skatt</v>
          </cell>
        </row>
        <row r="57">
          <cell r="A57" t="str">
            <v>Minoritetsinteresser</v>
          </cell>
        </row>
        <row r="59">
          <cell r="A59" t="str">
            <v>Resultat etter skatt (årsresultat)</v>
          </cell>
        </row>
        <row r="61">
          <cell r="A61" t="str">
            <v>NØKKELTALL:</v>
          </cell>
        </row>
        <row r="62">
          <cell r="A62" t="str">
            <v>Dekningsgrad</v>
          </cell>
          <cell r="E62">
            <v>0.36755736863059618</v>
          </cell>
          <cell r="F62">
            <v>0.33846424178527507</v>
          </cell>
          <cell r="G62">
            <v>0.27755900756166546</v>
          </cell>
          <cell r="H62">
            <v>0.32871343284780019</v>
          </cell>
          <cell r="I62">
            <v>0.32979049576466518</v>
          </cell>
          <cell r="J62">
            <v>0.33385109612736974</v>
          </cell>
          <cell r="K62">
            <v>0.34102635878862331</v>
          </cell>
        </row>
        <row r="63">
          <cell r="A63" t="str">
            <v>Driftsmargin</v>
          </cell>
          <cell r="E63">
            <v>-0.1639730192892464</v>
          </cell>
          <cell r="F63">
            <v>-8.4226556551279655E-2</v>
          </cell>
          <cell r="G63">
            <v>8.271930036479648E-2</v>
          </cell>
          <cell r="H63">
            <v>-0.20002461331018237</v>
          </cell>
          <cell r="I63">
            <v>-0.13804908167451133</v>
          </cell>
          <cell r="J63">
            <v>9.5602882661166247E-2</v>
          </cell>
          <cell r="K63">
            <v>-5.3352623271552935E-2</v>
          </cell>
        </row>
        <row r="64">
          <cell r="A64" t="str">
            <v>Resultatmargin</v>
          </cell>
          <cell r="E64">
            <v>-0.16859482196539133</v>
          </cell>
          <cell r="F64">
            <v>-8.2297584880610564E-2</v>
          </cell>
          <cell r="G64">
            <v>9.8362041891141519E-2</v>
          </cell>
          <cell r="H64">
            <v>-0.2020177563630087</v>
          </cell>
          <cell r="I64">
            <v>-0.13548419837352979</v>
          </cell>
          <cell r="J64">
            <v>0.11535183494797993</v>
          </cell>
          <cell r="K64">
            <v>-5.2287569857327486E-2</v>
          </cell>
        </row>
        <row r="65">
          <cell r="A65" t="str">
            <v>Resultatmargin etter fordelte kostnader</v>
          </cell>
          <cell r="E65">
            <v>-0.16859482196539133</v>
          </cell>
          <cell r="F65">
            <v>-8.2297584880610564E-2</v>
          </cell>
          <cell r="G65">
            <v>9.8362041891141519E-2</v>
          </cell>
          <cell r="H65">
            <v>-0.2020177563630087</v>
          </cell>
          <cell r="I65">
            <v>-0.13548419837352979</v>
          </cell>
          <cell r="J65">
            <v>0.11535183494797993</v>
          </cell>
          <cell r="K65">
            <v>-5.2287569857327486E-2</v>
          </cell>
        </row>
        <row r="66">
          <cell r="A66" t="str">
            <v>Driftskostnad i % av omsetning 1)</v>
          </cell>
          <cell r="E66">
            <v>0.43134516961034913</v>
          </cell>
          <cell r="F66">
            <v>0.33106464397977309</v>
          </cell>
          <cell r="G66">
            <v>-0.12113159229821466</v>
          </cell>
          <cell r="H66">
            <v>0.42186411044955402</v>
          </cell>
          <cell r="I66">
            <v>0.37444335900331127</v>
          </cell>
          <cell r="J66">
            <v>-0.19566390470474915</v>
          </cell>
          <cell r="K66">
            <v>0.31097536486459149</v>
          </cell>
        </row>
        <row r="67">
          <cell r="A67" t="str">
            <v>Pers.kost pr. årsverk 2) 3)</v>
          </cell>
          <cell r="E67">
            <v>0.2795617817916457</v>
          </cell>
          <cell r="F67">
            <v>0.27260063898778492</v>
          </cell>
          <cell r="G67">
            <v>-6.961142803860787E-3</v>
          </cell>
          <cell r="H67">
            <v>0.27430440039273279</v>
          </cell>
          <cell r="I67">
            <v>0.28494292301723145</v>
          </cell>
          <cell r="J67">
            <v>1.0638522624498659E-2</v>
          </cell>
          <cell r="K67">
            <v>797.12128362435112</v>
          </cell>
        </row>
        <row r="68">
          <cell r="A68" t="str">
            <v>Andre dr.kost. pr. årsverk 2) 3)</v>
          </cell>
          <cell r="E68">
            <v>0</v>
          </cell>
          <cell r="F68" t="e">
            <v>#DIV/0!</v>
          </cell>
          <cell r="G68" t="e">
            <v>#DIV/0!</v>
          </cell>
          <cell r="J68">
            <v>0</v>
          </cell>
          <cell r="K68">
            <v>333.09261718449909</v>
          </cell>
        </row>
        <row r="70">
          <cell r="A70" t="str">
            <v>Årsverk - egne</v>
          </cell>
          <cell r="H70">
            <v>1057</v>
          </cell>
          <cell r="I70">
            <v>1195</v>
          </cell>
          <cell r="J70">
            <v>138</v>
          </cell>
          <cell r="K70">
            <v>1224</v>
          </cell>
        </row>
        <row r="71">
          <cell r="A71" t="str">
            <v>Årsverk - innleide</v>
          </cell>
          <cell r="H71">
            <v>59</v>
          </cell>
          <cell r="I71">
            <v>31</v>
          </cell>
          <cell r="J71">
            <v>-28</v>
          </cell>
          <cell r="K71">
            <v>21</v>
          </cell>
        </row>
        <row r="73">
          <cell r="A73" t="str">
            <v>Investeringer</v>
          </cell>
          <cell r="H73">
            <v>13</v>
          </cell>
          <cell r="I73">
            <v>93</v>
          </cell>
          <cell r="J73">
            <v>80</v>
          </cell>
          <cell r="K73">
            <v>263</v>
          </cell>
        </row>
        <row r="75">
          <cell r="A75" t="str">
            <v>1) Driftskostnad = Pers.kost. + andre driftskostnader</v>
          </cell>
        </row>
        <row r="76">
          <cell r="A76" t="str">
            <v>2) Annualisert</v>
          </cell>
        </row>
        <row r="77">
          <cell r="A77" t="str">
            <v>3) Tusen kr.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BITDA"/>
      <sheetName val="2002 Total"/>
      <sheetName val="EBITDA mnd"/>
      <sheetName val="R2002"/>
      <sheetName val="B2002"/>
      <sheetName val="ASK"/>
      <sheetName val="Standardkalkyle"/>
      <sheetName val="Diagram DB"/>
      <sheetName val="Omsetning diagram"/>
      <sheetName val="Grunnlag diagram"/>
      <sheetName val="Grunndata"/>
      <sheetName val="A-sted"/>
      <sheetName val="K-kost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>
        <row r="3">
          <cell r="A3">
            <v>1</v>
          </cell>
          <cell r="B3" t="str">
            <v>Januar</v>
          </cell>
          <cell r="C3">
            <v>1</v>
          </cell>
        </row>
        <row r="4">
          <cell r="A4">
            <v>2</v>
          </cell>
          <cell r="B4" t="str">
            <v>Februar</v>
          </cell>
          <cell r="C4">
            <v>2</v>
          </cell>
        </row>
        <row r="5">
          <cell r="A5">
            <v>3</v>
          </cell>
          <cell r="B5" t="str">
            <v>Mars</v>
          </cell>
          <cell r="C5">
            <v>3</v>
          </cell>
        </row>
        <row r="6">
          <cell r="A6">
            <v>4</v>
          </cell>
          <cell r="B6" t="str">
            <v>April</v>
          </cell>
          <cell r="C6">
            <v>4</v>
          </cell>
        </row>
        <row r="7">
          <cell r="A7">
            <v>5</v>
          </cell>
          <cell r="B7" t="str">
            <v>Mai</v>
          </cell>
          <cell r="C7">
            <v>5</v>
          </cell>
        </row>
        <row r="8">
          <cell r="A8">
            <v>6</v>
          </cell>
          <cell r="B8" t="str">
            <v>Juni</v>
          </cell>
          <cell r="C8">
            <v>6</v>
          </cell>
        </row>
        <row r="9">
          <cell r="A9">
            <v>7</v>
          </cell>
          <cell r="B9" t="str">
            <v>Juli</v>
          </cell>
          <cell r="C9">
            <v>7</v>
          </cell>
        </row>
        <row r="10">
          <cell r="A10">
            <v>8</v>
          </cell>
          <cell r="B10" t="str">
            <v>August</v>
          </cell>
          <cell r="C10">
            <v>8</v>
          </cell>
        </row>
        <row r="11">
          <cell r="A11">
            <v>9</v>
          </cell>
          <cell r="B11" t="str">
            <v>September</v>
          </cell>
          <cell r="C11">
            <v>9</v>
          </cell>
        </row>
        <row r="12">
          <cell r="A12">
            <v>10</v>
          </cell>
          <cell r="B12" t="str">
            <v>Oktober</v>
          </cell>
          <cell r="C12">
            <v>10</v>
          </cell>
        </row>
        <row r="13">
          <cell r="A13">
            <v>11</v>
          </cell>
          <cell r="B13" t="str">
            <v>November</v>
          </cell>
          <cell r="C13">
            <v>11</v>
          </cell>
        </row>
        <row r="14">
          <cell r="A14">
            <v>12</v>
          </cell>
          <cell r="B14" t="str">
            <v>Desember</v>
          </cell>
          <cell r="C14">
            <v>12</v>
          </cell>
        </row>
      </sheetData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Grunndata"/>
      <sheetName val="tot"/>
      <sheetName val="CAPEX LRBP_Input"/>
      <sheetName val="Forside"/>
      <sheetName val="Front"/>
      <sheetName val="Sheet-8"/>
      <sheetName val="สรุปราคาค่าก่อสร้าง"/>
      <sheetName val="TB-2001-Apr'01"/>
      <sheetName val="TrialBalance Q3-2002"/>
      <sheetName val="1602-97"/>
      <sheetName val="19"/>
      <sheetName val="K-8"/>
      <sheetName val="เงินกู้ธนชาติ"/>
      <sheetName val="List_of_New_Sites_Propose2"/>
      <sheetName val="ADJ - RATE"/>
      <sheetName val="TOTAL PGS Group"/>
      <sheetName val="Sheet3"/>
      <sheetName val="Mar21"/>
      <sheetName val="Dtn-Jan 21  "/>
      <sheetName val="DTAC Telenor"/>
      <sheetName val="Account code for NewERP"/>
      <sheetName val="RC-New (VF.Feb21)"/>
      <sheetName val="list"/>
      <sheetName val="AARSPAK2"/>
      <sheetName val="Sheet1"/>
      <sheetName val="Employees"/>
      <sheetName val="UAD"/>
      <sheetName val="Basis P&amp;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FY 2nd Hafl Latest Estimate"/>
      <sheetName val="WeeklyData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stats"/>
      <sheetName val="Report Template"/>
      <sheetName val="Shareholder Structure"/>
      <sheetName val="Tariffs&amp;Traffic"/>
      <sheetName val="TPSA_Model"/>
      <sheetName val="__FDSCACHE__"/>
      <sheetName val="GSM"/>
      <sheetName val="Centertel_Model"/>
      <sheetName val="Centertel Consolidations"/>
      <sheetName val="TPSA_Capex"/>
      <sheetName val="TPSA_Group"/>
      <sheetName val="mwareValPrintout"/>
      <sheetName val="mwareTaxoPres"/>
      <sheetName val="Group_DCF"/>
      <sheetName val="Valuation Multiples"/>
      <sheetName val="Valuation Chart"/>
      <sheetName val="TPSA Q"/>
      <sheetName val="Dividend Chart"/>
      <sheetName val="Quarterly"/>
      <sheetName val="Consensus"/>
      <sheetName val="Mobile Ops Summary"/>
      <sheetName val="Centertel_Fins"/>
      <sheetName val="IS(PAS)consol"/>
      <sheetName val="CF(PAS)unconsol"/>
      <sheetName val="IS(PAS)unconsol"/>
      <sheetName val="GE 2"/>
      <sheetName val="Debt Summary"/>
      <sheetName val="Changes"/>
      <sheetName val="Benchmarking"/>
      <sheetName val="Chart Data"/>
      <sheetName val="Charts"/>
      <sheetName val="Sublink churn"/>
      <sheetName val="Link"/>
      <sheetName val="GE Upload"/>
      <sheetName val="FT-Link"/>
      <sheetName val="mwareDates"/>
      <sheetName val="Operational Changes"/>
      <sheetName val="mwarePreview"/>
      <sheetName val="Taglink"/>
      <sheetName val="MSAM Link"/>
      <sheetName val="TPSAQ link"/>
      <sheetName val="Quarterly_Table"/>
      <sheetName val="Quarterly Segments"/>
      <sheetName val="BS(PAS)unconsol"/>
      <sheetName val="CF(PAS)consol"/>
      <sheetName val="BS(PAS)consol"/>
      <sheetName val="Proportional"/>
      <sheetName val="Centertel_DCF"/>
      <sheetName val="TPSA_DCF"/>
      <sheetName val="mwareSettings"/>
      <sheetName val="Cellular_Market"/>
      <sheetName val="NMT"/>
      <sheetName val="Relative Pricing"/>
      <sheetName val="Sheet1"/>
      <sheetName val="xbrldates"/>
      <sheetName val="xbrlPreview"/>
      <sheetName val="xbrlSettings"/>
      <sheetName val="TPSA_WIP"/>
      <sheetName val="Macro_Assumptions"/>
      <sheetName val="MWare_Cach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68">
          <cell r="O468">
            <v>7427.9247366746959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Cost Report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_ID"/>
      <sheetName val="★ﾒﾆｭｰ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d"/>
      <sheetName val="Ref"/>
      <sheetName val="WaterFall_Pre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"/>
      <sheetName val="Model"/>
      <sheetName val="Financial Statements"/>
      <sheetName val="Capex"/>
      <sheetName val="Capex Input"/>
      <sheetName val="Results"/>
      <sheetName val="BTS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Z"/>
      <sheetName val="BEN"/>
      <sheetName val="BRA"/>
      <sheetName val="CE"/>
      <sheetName val="FRA"/>
      <sheetName val="ITA"/>
      <sheetName val="JPN"/>
      <sheetName val="KOR"/>
      <sheetName val="MEX"/>
      <sheetName val="NOR"/>
      <sheetName val="SPA"/>
      <sheetName val="UK"/>
      <sheetName val="UPIBV"/>
      <sheetName val="UPIO"/>
      <sheetName val="UPV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ﾃﾞｰﾀ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Version History"/>
      <sheetName val="imports"/>
      <sheetName val="C5"/>
      <sheetName val="other sources"/>
      <sheetName val="HH"/>
      <sheetName val="S"/>
      <sheetName val="M"/>
      <sheetName val="L"/>
      <sheetName val="FREV1"/>
      <sheetName val="FREV2"/>
      <sheetName val="FREV3"/>
      <sheetName val="foldback"/>
      <sheetName val="C1"/>
      <sheetName val="C2"/>
      <sheetName val="C3"/>
      <sheetName val="C4"/>
      <sheetName val="C6"/>
      <sheetName val="C7"/>
      <sheetName val="C8"/>
      <sheetName val="C-Por"/>
      <sheetName val="C-Gr"/>
      <sheetName val="C-Swi"/>
      <sheetName val="C-Swe"/>
      <sheetName val="C-No"/>
      <sheetName val="C-Ne"/>
      <sheetName val="C-Fi"/>
      <sheetName val="C-Dk"/>
      <sheetName val="C-Os"/>
      <sheetName val="C-UK"/>
      <sheetName val="C-Ar"/>
      <sheetName val="C-Fr"/>
      <sheetName val="C-Ge"/>
      <sheetName val="C-It"/>
      <sheetName val="C-J"/>
      <sheetName val="C-US"/>
    </sheetNames>
    <sheetDataSet>
      <sheetData sheetId="0">
        <row r="5">
          <cell r="B5" t="str">
            <v>fixed seeds</v>
          </cell>
        </row>
        <row r="6">
          <cell r="B6" t="str">
            <v>models site numbers and spend per site for seed countries</v>
          </cell>
        </row>
        <row r="8">
          <cell r="B8" t="str">
            <v>v0</v>
          </cell>
        </row>
        <row r="9">
          <cell r="B9" t="str">
            <v>Under construction</v>
          </cell>
        </row>
        <row r="14">
          <cell r="B14" t="str">
            <v>andrew entwistle</v>
          </cell>
        </row>
        <row r="15">
          <cell r="B15" t="str">
            <v>andrew@newstreetresearch.com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- Debt Roll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ｰﾀ加工(MTD)"/>
      <sheetName val="ﾃﾞｰﾀ加工(YTD)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BITDA"/>
      <sheetName val="2002 Total"/>
      <sheetName val="EBITDA mnd"/>
      <sheetName val="R2002"/>
      <sheetName val="B2002"/>
      <sheetName val="ASK"/>
      <sheetName val="Standardkalkyle"/>
      <sheetName val="Diagram DB"/>
      <sheetName val="Omsetning diagram"/>
      <sheetName val="Grunnlag diagram"/>
      <sheetName val="Grunndata"/>
      <sheetName val="A-sted"/>
      <sheetName val="K-kost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8">
          <cell r="A8" t="str">
            <v>92000</v>
          </cell>
          <cell r="B8">
            <v>572754.43999999994</v>
          </cell>
          <cell r="C8">
            <v>638109.75</v>
          </cell>
          <cell r="D8">
            <v>455414.35</v>
          </cell>
          <cell r="E8">
            <v>633339.72</v>
          </cell>
          <cell r="F8">
            <v>1213897.45</v>
          </cell>
          <cell r="G8">
            <v>1357058.72</v>
          </cell>
          <cell r="H8">
            <v>906607.45</v>
          </cell>
          <cell r="I8">
            <v>1485501.87</v>
          </cell>
          <cell r="J8">
            <v>1471471.16</v>
          </cell>
          <cell r="O8" t="str">
            <v>92000</v>
          </cell>
          <cell r="P8">
            <v>572754.43999999994</v>
          </cell>
          <cell r="Q8">
            <v>1210864.19</v>
          </cell>
          <cell r="R8">
            <v>1666278.54</v>
          </cell>
          <cell r="S8">
            <v>2299618.2599999998</v>
          </cell>
          <cell r="T8">
            <v>3513515.71</v>
          </cell>
          <cell r="U8">
            <v>4870574.43</v>
          </cell>
          <cell r="V8">
            <v>5777181.8799999999</v>
          </cell>
          <cell r="W8">
            <v>7262683.75</v>
          </cell>
          <cell r="X8">
            <v>8734154.9100000001</v>
          </cell>
          <cell r="Y8">
            <v>8734154.9100000001</v>
          </cell>
          <cell r="Z8">
            <v>8734154.9100000001</v>
          </cell>
          <cell r="AA8">
            <v>8734154.9100000001</v>
          </cell>
        </row>
        <row r="9">
          <cell r="A9" t="str">
            <v>92100</v>
          </cell>
          <cell r="B9">
            <v>154549.20000000001</v>
          </cell>
          <cell r="C9">
            <v>181790.48</v>
          </cell>
          <cell r="D9">
            <v>-52647.27</v>
          </cell>
          <cell r="E9">
            <v>94947.77</v>
          </cell>
          <cell r="F9">
            <v>104831.27</v>
          </cell>
          <cell r="G9">
            <v>84803.5</v>
          </cell>
          <cell r="H9">
            <v>80114.16</v>
          </cell>
          <cell r="I9">
            <v>83136.800000000003</v>
          </cell>
          <cell r="J9">
            <v>102074.35</v>
          </cell>
          <cell r="O9" t="str">
            <v>92100</v>
          </cell>
          <cell r="P9">
            <v>154549.20000000001</v>
          </cell>
          <cell r="Q9">
            <v>336339.68000000005</v>
          </cell>
          <cell r="R9">
            <v>283692.41000000003</v>
          </cell>
          <cell r="S9">
            <v>378640.18000000005</v>
          </cell>
          <cell r="T9">
            <v>483471.45000000007</v>
          </cell>
          <cell r="U9">
            <v>568274.95000000007</v>
          </cell>
          <cell r="V9">
            <v>648389.1100000001</v>
          </cell>
          <cell r="W9">
            <v>731525.91000000015</v>
          </cell>
          <cell r="X9">
            <v>833600.26000000013</v>
          </cell>
          <cell r="Y9">
            <v>833600.26000000013</v>
          </cell>
          <cell r="Z9">
            <v>833600.26000000013</v>
          </cell>
          <cell r="AA9">
            <v>833600.26000000013</v>
          </cell>
        </row>
        <row r="10">
          <cell r="A10" t="str">
            <v>92200</v>
          </cell>
          <cell r="B10">
            <v>808138.91</v>
          </cell>
          <cell r="C10">
            <v>978397.38</v>
          </cell>
          <cell r="D10">
            <v>1381144</v>
          </cell>
          <cell r="E10">
            <v>1168586.22</v>
          </cell>
          <cell r="F10">
            <v>373605.36</v>
          </cell>
          <cell r="G10">
            <v>887938.18</v>
          </cell>
          <cell r="H10">
            <v>652326.82999999996</v>
          </cell>
          <cell r="I10">
            <v>485790.25</v>
          </cell>
          <cell r="J10">
            <v>856444.17</v>
          </cell>
          <cell r="O10" t="str">
            <v>92200</v>
          </cell>
          <cell r="P10">
            <v>808138.91</v>
          </cell>
          <cell r="Q10">
            <v>1786536.29</v>
          </cell>
          <cell r="R10">
            <v>3167680.29</v>
          </cell>
          <cell r="S10">
            <v>4336266.51</v>
          </cell>
          <cell r="T10">
            <v>4709871.87</v>
          </cell>
          <cell r="U10">
            <v>5597810.0499999998</v>
          </cell>
          <cell r="V10">
            <v>6250136.8799999999</v>
          </cell>
          <cell r="W10">
            <v>6735927.1299999999</v>
          </cell>
          <cell r="X10">
            <v>7592371.2999999998</v>
          </cell>
          <cell r="Y10">
            <v>7592371.2999999998</v>
          </cell>
          <cell r="Z10">
            <v>7592371.2999999998</v>
          </cell>
          <cell r="AA10">
            <v>7592371.2999999998</v>
          </cell>
        </row>
        <row r="11">
          <cell r="A11" t="str">
            <v>92305</v>
          </cell>
          <cell r="C11">
            <v>813.5</v>
          </cell>
          <cell r="D11">
            <v>-300000</v>
          </cell>
          <cell r="G11">
            <v>2325000</v>
          </cell>
          <cell r="H11">
            <v>1666</v>
          </cell>
          <cell r="O11" t="str">
            <v>92305</v>
          </cell>
          <cell r="P11">
            <v>0</v>
          </cell>
          <cell r="Q11">
            <v>813.5</v>
          </cell>
          <cell r="R11">
            <v>-299186.5</v>
          </cell>
          <cell r="S11">
            <v>-299186.5</v>
          </cell>
          <cell r="T11">
            <v>-299186.5</v>
          </cell>
          <cell r="U11">
            <v>2025813.5</v>
          </cell>
          <cell r="V11">
            <v>2027479.5</v>
          </cell>
          <cell r="W11">
            <v>2027479.5</v>
          </cell>
          <cell r="X11">
            <v>2027479.5</v>
          </cell>
          <cell r="Y11">
            <v>2027479.5</v>
          </cell>
          <cell r="Z11">
            <v>2027479.5</v>
          </cell>
          <cell r="AA11">
            <v>2027479.5</v>
          </cell>
        </row>
        <row r="12">
          <cell r="A12" t="str">
            <v>92310</v>
          </cell>
          <cell r="C12">
            <v>-0.16000000000349246</v>
          </cell>
          <cell r="D12">
            <v>767</v>
          </cell>
          <cell r="H12">
            <v>1153</v>
          </cell>
          <cell r="I12">
            <v>83760</v>
          </cell>
          <cell r="J12">
            <v>34276.18</v>
          </cell>
          <cell r="O12" t="str">
            <v>92310</v>
          </cell>
          <cell r="P12">
            <v>0</v>
          </cell>
          <cell r="Q12">
            <v>-0.16000000000349246</v>
          </cell>
          <cell r="R12">
            <v>766.83999999999651</v>
          </cell>
          <cell r="S12">
            <v>766.83999999999651</v>
          </cell>
          <cell r="T12">
            <v>766.83999999999651</v>
          </cell>
          <cell r="U12">
            <v>766.83999999999651</v>
          </cell>
          <cell r="V12">
            <v>1919.8399999999965</v>
          </cell>
          <cell r="W12">
            <v>85679.84</v>
          </cell>
          <cell r="X12">
            <v>119956.01999999999</v>
          </cell>
          <cell r="Y12">
            <v>119956.01999999999</v>
          </cell>
          <cell r="Z12">
            <v>119956.01999999999</v>
          </cell>
          <cell r="AA12">
            <v>119956.01999999999</v>
          </cell>
        </row>
        <row r="13">
          <cell r="A13" t="str">
            <v>92320</v>
          </cell>
          <cell r="G13">
            <v>767.21</v>
          </cell>
          <cell r="J13">
            <v>32395.7</v>
          </cell>
          <cell r="O13" t="str">
            <v>92320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767.21</v>
          </cell>
          <cell r="V13">
            <v>767.21</v>
          </cell>
          <cell r="W13">
            <v>767.21</v>
          </cell>
          <cell r="X13">
            <v>33162.910000000003</v>
          </cell>
          <cell r="Y13">
            <v>33162.910000000003</v>
          </cell>
          <cell r="Z13">
            <v>33162.910000000003</v>
          </cell>
          <cell r="AA13">
            <v>33162.910000000003</v>
          </cell>
        </row>
        <row r="14">
          <cell r="A14" t="str">
            <v>92325</v>
          </cell>
          <cell r="B14">
            <v>2310</v>
          </cell>
          <cell r="C14">
            <v>1970</v>
          </cell>
          <cell r="D14">
            <v>5995.72</v>
          </cell>
          <cell r="E14">
            <v>11770</v>
          </cell>
          <cell r="F14">
            <v>30554</v>
          </cell>
          <cell r="G14">
            <v>44286.95</v>
          </cell>
          <cell r="H14">
            <v>86700</v>
          </cell>
          <cell r="I14">
            <v>162097.73000000001</v>
          </cell>
          <cell r="J14">
            <v>163630.28</v>
          </cell>
          <cell r="O14" t="str">
            <v>92325</v>
          </cell>
          <cell r="P14">
            <v>2310</v>
          </cell>
          <cell r="Q14">
            <v>4280</v>
          </cell>
          <cell r="R14">
            <v>10275.720000000001</v>
          </cell>
          <cell r="S14">
            <v>22045.72</v>
          </cell>
          <cell r="T14">
            <v>52599.72</v>
          </cell>
          <cell r="U14">
            <v>96886.67</v>
          </cell>
          <cell r="V14">
            <v>183586.66999999998</v>
          </cell>
          <cell r="W14">
            <v>345684.4</v>
          </cell>
          <cell r="X14">
            <v>509314.68000000005</v>
          </cell>
          <cell r="Y14">
            <v>509314.68000000005</v>
          </cell>
          <cell r="Z14">
            <v>509314.68000000005</v>
          </cell>
          <cell r="AA14">
            <v>509314.68000000005</v>
          </cell>
        </row>
        <row r="15">
          <cell r="A15" t="str">
            <v>92330</v>
          </cell>
          <cell r="F15">
            <v>1942.25</v>
          </cell>
          <cell r="O15" t="str">
            <v>92330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1942.25</v>
          </cell>
          <cell r="U15">
            <v>1942.25</v>
          </cell>
          <cell r="V15">
            <v>1942.25</v>
          </cell>
          <cell r="W15">
            <v>1942.25</v>
          </cell>
          <cell r="X15">
            <v>1942.25</v>
          </cell>
          <cell r="Y15">
            <v>1942.25</v>
          </cell>
          <cell r="Z15">
            <v>1942.25</v>
          </cell>
          <cell r="AA15">
            <v>1942.25</v>
          </cell>
        </row>
        <row r="16">
          <cell r="A16" t="str">
            <v>92335</v>
          </cell>
          <cell r="D16">
            <v>55633.68</v>
          </cell>
          <cell r="E16">
            <v>1743.93</v>
          </cell>
          <cell r="O16" t="str">
            <v>92335</v>
          </cell>
          <cell r="P16">
            <v>0</v>
          </cell>
          <cell r="Q16">
            <v>0</v>
          </cell>
          <cell r="R16">
            <v>55633.68</v>
          </cell>
          <cell r="S16">
            <v>57377.61</v>
          </cell>
          <cell r="T16">
            <v>57377.61</v>
          </cell>
          <cell r="U16">
            <v>57377.61</v>
          </cell>
          <cell r="V16">
            <v>57377.61</v>
          </cell>
          <cell r="W16">
            <v>57377.61</v>
          </cell>
          <cell r="X16">
            <v>57377.61</v>
          </cell>
          <cell r="Y16">
            <v>57377.61</v>
          </cell>
          <cell r="Z16">
            <v>57377.61</v>
          </cell>
          <cell r="AA16">
            <v>57377.61</v>
          </cell>
        </row>
        <row r="17">
          <cell r="A17" t="str">
            <v>92340</v>
          </cell>
          <cell r="C17">
            <v>64</v>
          </cell>
          <cell r="O17" t="str">
            <v>92340</v>
          </cell>
          <cell r="P17">
            <v>0</v>
          </cell>
          <cell r="Q17">
            <v>64</v>
          </cell>
          <cell r="R17">
            <v>64</v>
          </cell>
          <cell r="S17">
            <v>64</v>
          </cell>
          <cell r="T17">
            <v>64</v>
          </cell>
          <cell r="U17">
            <v>64</v>
          </cell>
          <cell r="V17">
            <v>64</v>
          </cell>
          <cell r="W17">
            <v>64</v>
          </cell>
          <cell r="X17">
            <v>64</v>
          </cell>
          <cell r="Y17">
            <v>64</v>
          </cell>
          <cell r="Z17">
            <v>64</v>
          </cell>
          <cell r="AA17">
            <v>64</v>
          </cell>
        </row>
        <row r="18">
          <cell r="A18" t="str">
            <v>92350</v>
          </cell>
          <cell r="F18">
            <v>258</v>
          </cell>
          <cell r="G18">
            <v>140</v>
          </cell>
          <cell r="O18" t="str">
            <v>92350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258</v>
          </cell>
          <cell r="U18">
            <v>398</v>
          </cell>
          <cell r="V18">
            <v>398</v>
          </cell>
          <cell r="W18">
            <v>398</v>
          </cell>
          <cell r="X18">
            <v>398</v>
          </cell>
          <cell r="Y18">
            <v>398</v>
          </cell>
          <cell r="Z18">
            <v>398</v>
          </cell>
          <cell r="AA18">
            <v>398</v>
          </cell>
        </row>
        <row r="19">
          <cell r="A19" t="str">
            <v>92355</v>
          </cell>
          <cell r="C19">
            <v>2995.3499999999767</v>
          </cell>
          <cell r="D19">
            <v>4280.38</v>
          </cell>
          <cell r="E19">
            <v>88460.32</v>
          </cell>
          <cell r="F19">
            <v>22633.599999999999</v>
          </cell>
          <cell r="G19">
            <v>276.91000000000003</v>
          </cell>
          <cell r="H19">
            <v>464.1</v>
          </cell>
          <cell r="O19" t="str">
            <v>92355</v>
          </cell>
          <cell r="P19">
            <v>0</v>
          </cell>
          <cell r="Q19">
            <v>2995.3499999999767</v>
          </cell>
          <cell r="R19">
            <v>7275.7299999999768</v>
          </cell>
          <cell r="S19">
            <v>95736.049999999988</v>
          </cell>
          <cell r="T19">
            <v>118369.65</v>
          </cell>
          <cell r="U19">
            <v>118646.56</v>
          </cell>
          <cell r="V19">
            <v>119110.66</v>
          </cell>
          <cell r="W19">
            <v>119110.66</v>
          </cell>
          <cell r="X19">
            <v>119110.66</v>
          </cell>
          <cell r="Y19">
            <v>119110.66</v>
          </cell>
          <cell r="Z19">
            <v>119110.66</v>
          </cell>
          <cell r="AA19">
            <v>119110.66</v>
          </cell>
        </row>
        <row r="20">
          <cell r="A20" t="str">
            <v>92360</v>
          </cell>
          <cell r="C20">
            <v>784.68</v>
          </cell>
          <cell r="O20" t="str">
            <v>92360</v>
          </cell>
          <cell r="P20">
            <v>0</v>
          </cell>
          <cell r="Q20">
            <v>784.68</v>
          </cell>
          <cell r="R20">
            <v>784.68</v>
          </cell>
          <cell r="S20">
            <v>784.68</v>
          </cell>
          <cell r="T20">
            <v>784.68</v>
          </cell>
          <cell r="U20">
            <v>784.68</v>
          </cell>
          <cell r="V20">
            <v>784.68</v>
          </cell>
          <cell r="W20">
            <v>784.68</v>
          </cell>
          <cell r="X20">
            <v>784.68</v>
          </cell>
          <cell r="Y20">
            <v>784.68</v>
          </cell>
          <cell r="Z20">
            <v>784.68</v>
          </cell>
          <cell r="AA20">
            <v>784.68</v>
          </cell>
        </row>
        <row r="21">
          <cell r="A21" t="str">
            <v>92365</v>
          </cell>
          <cell r="J21">
            <v>0</v>
          </cell>
          <cell r="O21" t="str">
            <v>92365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A22" t="str">
            <v>92370</v>
          </cell>
          <cell r="C22">
            <v>5334</v>
          </cell>
          <cell r="D22">
            <v>0</v>
          </cell>
          <cell r="I22">
            <v>406.5</v>
          </cell>
          <cell r="O22" t="str">
            <v>92370</v>
          </cell>
          <cell r="P22">
            <v>0</v>
          </cell>
          <cell r="Q22">
            <v>5334</v>
          </cell>
          <cell r="R22">
            <v>5334</v>
          </cell>
          <cell r="S22">
            <v>5334</v>
          </cell>
          <cell r="T22">
            <v>5334</v>
          </cell>
          <cell r="U22">
            <v>5334</v>
          </cell>
          <cell r="V22">
            <v>5334</v>
          </cell>
          <cell r="W22">
            <v>5740.5</v>
          </cell>
          <cell r="X22">
            <v>5740.5</v>
          </cell>
          <cell r="Y22">
            <v>5740.5</v>
          </cell>
          <cell r="Z22">
            <v>5740.5</v>
          </cell>
          <cell r="AA22">
            <v>5740.5</v>
          </cell>
        </row>
        <row r="23">
          <cell r="A23" t="str">
            <v>92375</v>
          </cell>
          <cell r="C23">
            <v>5069.76</v>
          </cell>
          <cell r="D23">
            <v>863.71</v>
          </cell>
          <cell r="F23">
            <v>4700.6499999999996</v>
          </cell>
          <cell r="H23">
            <v>101.82</v>
          </cell>
          <cell r="O23" t="str">
            <v>92375</v>
          </cell>
          <cell r="P23">
            <v>0</v>
          </cell>
          <cell r="Q23">
            <v>5069.76</v>
          </cell>
          <cell r="R23">
            <v>5933.47</v>
          </cell>
          <cell r="S23">
            <v>5933.47</v>
          </cell>
          <cell r="T23">
            <v>10634.119999999999</v>
          </cell>
          <cell r="U23">
            <v>10634.119999999999</v>
          </cell>
          <cell r="V23">
            <v>10735.939999999999</v>
          </cell>
          <cell r="W23">
            <v>10735.939999999999</v>
          </cell>
          <cell r="X23">
            <v>10735.939999999999</v>
          </cell>
          <cell r="Y23">
            <v>10735.939999999999</v>
          </cell>
          <cell r="Z23">
            <v>10735.939999999999</v>
          </cell>
          <cell r="AA23">
            <v>10735.939999999999</v>
          </cell>
        </row>
        <row r="24">
          <cell r="A24" t="str">
            <v>92387</v>
          </cell>
          <cell r="G24">
            <v>12181.01</v>
          </cell>
          <cell r="J24">
            <v>1330</v>
          </cell>
          <cell r="O24" t="str">
            <v>92387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12181.01</v>
          </cell>
          <cell r="V24">
            <v>12181.01</v>
          </cell>
          <cell r="W24">
            <v>12181.01</v>
          </cell>
          <cell r="X24">
            <v>13511.01</v>
          </cell>
          <cell r="Y24">
            <v>13511.01</v>
          </cell>
          <cell r="Z24">
            <v>13511.01</v>
          </cell>
          <cell r="AA24">
            <v>13511.01</v>
          </cell>
        </row>
        <row r="25">
          <cell r="A25" t="str">
            <v>92390</v>
          </cell>
          <cell r="B25">
            <v>67167.44</v>
          </cell>
          <cell r="C25">
            <v>58636.98</v>
          </cell>
          <cell r="D25">
            <v>232738</v>
          </cell>
          <cell r="E25">
            <v>29266.03</v>
          </cell>
          <cell r="F25">
            <v>330.5</v>
          </cell>
          <cell r="H25">
            <v>1764.53</v>
          </cell>
          <cell r="I25">
            <v>87348.58</v>
          </cell>
          <cell r="J25">
            <v>17985.02</v>
          </cell>
          <cell r="O25" t="str">
            <v>92390</v>
          </cell>
          <cell r="P25">
            <v>67167.44</v>
          </cell>
          <cell r="Q25">
            <v>125804.42000000001</v>
          </cell>
          <cell r="R25">
            <v>358542.42000000004</v>
          </cell>
          <cell r="S25">
            <v>387808.45000000007</v>
          </cell>
          <cell r="T25">
            <v>388138.95000000007</v>
          </cell>
          <cell r="U25">
            <v>388138.95000000007</v>
          </cell>
          <cell r="V25">
            <v>389903.4800000001</v>
          </cell>
          <cell r="W25">
            <v>477252.06000000011</v>
          </cell>
          <cell r="X25">
            <v>495237.08000000013</v>
          </cell>
          <cell r="Y25">
            <v>495237.08000000013</v>
          </cell>
          <cell r="Z25">
            <v>495237.08000000013</v>
          </cell>
          <cell r="AA25">
            <v>495237.08000000013</v>
          </cell>
        </row>
        <row r="26">
          <cell r="A26" t="str">
            <v>92395</v>
          </cell>
          <cell r="D26">
            <v>494</v>
          </cell>
          <cell r="E26">
            <v>655.35</v>
          </cell>
          <cell r="H26">
            <v>666.4</v>
          </cell>
          <cell r="O26" t="str">
            <v>92395</v>
          </cell>
          <cell r="P26">
            <v>0</v>
          </cell>
          <cell r="Q26">
            <v>0</v>
          </cell>
          <cell r="R26">
            <v>494</v>
          </cell>
          <cell r="S26">
            <v>1149.3499999999999</v>
          </cell>
          <cell r="T26">
            <v>1149.3499999999999</v>
          </cell>
          <cell r="U26">
            <v>1149.3499999999999</v>
          </cell>
          <cell r="V26">
            <v>1815.75</v>
          </cell>
          <cell r="W26">
            <v>1815.75</v>
          </cell>
          <cell r="X26">
            <v>1815.75</v>
          </cell>
          <cell r="Y26">
            <v>1815.75</v>
          </cell>
          <cell r="Z26">
            <v>1815.75</v>
          </cell>
          <cell r="AA26">
            <v>1815.75</v>
          </cell>
        </row>
        <row r="27">
          <cell r="A27" t="str">
            <v>93000</v>
          </cell>
          <cell r="B27">
            <v>148262.76999999999</v>
          </cell>
          <cell r="C27">
            <v>230750.43</v>
          </cell>
          <cell r="D27">
            <v>250927.11</v>
          </cell>
          <cell r="E27">
            <v>250453.09</v>
          </cell>
          <cell r="F27">
            <v>163469.38</v>
          </cell>
          <cell r="G27">
            <v>218457.27</v>
          </cell>
          <cell r="H27">
            <v>210941.85</v>
          </cell>
          <cell r="I27">
            <v>144187.63</v>
          </cell>
          <cell r="J27">
            <v>221217.87</v>
          </cell>
          <cell r="O27" t="str">
            <v>93000</v>
          </cell>
          <cell r="P27">
            <v>148262.76999999999</v>
          </cell>
          <cell r="Q27">
            <v>379013.19999999995</v>
          </cell>
          <cell r="R27">
            <v>629940.30999999994</v>
          </cell>
          <cell r="S27">
            <v>880393.39999999991</v>
          </cell>
          <cell r="T27">
            <v>1043862.7799999999</v>
          </cell>
          <cell r="U27">
            <v>1262320.0499999998</v>
          </cell>
          <cell r="V27">
            <v>1473261.9</v>
          </cell>
          <cell r="W27">
            <v>1617449.5299999998</v>
          </cell>
          <cell r="X27">
            <v>1838667.4</v>
          </cell>
          <cell r="Y27">
            <v>1838667.4</v>
          </cell>
          <cell r="Z27">
            <v>1838667.4</v>
          </cell>
          <cell r="AA27">
            <v>1838667.4</v>
          </cell>
        </row>
        <row r="28">
          <cell r="A28" t="str">
            <v>93110</v>
          </cell>
          <cell r="B28">
            <v>838111.01</v>
          </cell>
          <cell r="C28">
            <v>-350432.81</v>
          </cell>
          <cell r="D28">
            <v>275632.12</v>
          </cell>
          <cell r="E28">
            <v>316121.59999999998</v>
          </cell>
          <cell r="F28">
            <v>246404.74</v>
          </cell>
          <cell r="G28">
            <v>179780.08</v>
          </cell>
          <cell r="H28">
            <v>179511.45</v>
          </cell>
          <cell r="I28">
            <v>266467.59000000003</v>
          </cell>
          <cell r="J28">
            <v>253212.84</v>
          </cell>
          <cell r="O28" t="str">
            <v>93110</v>
          </cell>
          <cell r="P28">
            <v>838111.01</v>
          </cell>
          <cell r="Q28">
            <v>487678.2</v>
          </cell>
          <cell r="R28">
            <v>763310.32000000007</v>
          </cell>
          <cell r="S28">
            <v>1079431.92</v>
          </cell>
          <cell r="T28">
            <v>1325836.6599999999</v>
          </cell>
          <cell r="U28">
            <v>1505616.74</v>
          </cell>
          <cell r="V28">
            <v>1685128.19</v>
          </cell>
          <cell r="W28">
            <v>1951595.78</v>
          </cell>
          <cell r="X28">
            <v>2204808.62</v>
          </cell>
          <cell r="Y28">
            <v>2204808.62</v>
          </cell>
          <cell r="Z28">
            <v>2204808.62</v>
          </cell>
          <cell r="AA28">
            <v>2204808.62</v>
          </cell>
        </row>
        <row r="29">
          <cell r="A29" t="str">
            <v>93120</v>
          </cell>
          <cell r="B29">
            <v>35616.31</v>
          </cell>
          <cell r="C29">
            <v>437094.41</v>
          </cell>
          <cell r="D29">
            <v>147177.75</v>
          </cell>
          <cell r="E29">
            <v>250063.59</v>
          </cell>
          <cell r="F29">
            <v>234113.01</v>
          </cell>
          <cell r="G29">
            <v>207419.15</v>
          </cell>
          <cell r="H29">
            <v>153930.07999999999</v>
          </cell>
          <cell r="I29">
            <v>281520.03000000003</v>
          </cell>
          <cell r="J29">
            <v>246177.5</v>
          </cell>
          <cell r="O29" t="str">
            <v>93120</v>
          </cell>
          <cell r="P29">
            <v>35616.31</v>
          </cell>
          <cell r="Q29">
            <v>472710.72</v>
          </cell>
          <cell r="R29">
            <v>619888.47</v>
          </cell>
          <cell r="S29">
            <v>869952.05999999994</v>
          </cell>
          <cell r="T29">
            <v>1104065.0699999998</v>
          </cell>
          <cell r="U29">
            <v>1311484.2199999997</v>
          </cell>
          <cell r="V29">
            <v>1465414.2999999998</v>
          </cell>
          <cell r="W29">
            <v>1746934.3299999998</v>
          </cell>
          <cell r="X29">
            <v>1993111.8299999998</v>
          </cell>
          <cell r="Y29">
            <v>1993111.8299999998</v>
          </cell>
          <cell r="Z29">
            <v>1993111.8299999998</v>
          </cell>
          <cell r="AA29">
            <v>1993111.8299999998</v>
          </cell>
        </row>
        <row r="30">
          <cell r="A30" t="str">
            <v>93130</v>
          </cell>
          <cell r="B30">
            <v>402161.65</v>
          </cell>
          <cell r="C30">
            <v>316456.31</v>
          </cell>
          <cell r="D30">
            <v>255215.4</v>
          </cell>
          <cell r="E30">
            <v>331939.51</v>
          </cell>
          <cell r="F30">
            <v>319634.78999999998</v>
          </cell>
          <cell r="G30">
            <v>220350.23</v>
          </cell>
          <cell r="H30">
            <v>217547.94</v>
          </cell>
          <cell r="I30">
            <v>301201.89</v>
          </cell>
          <cell r="J30">
            <v>336939.35</v>
          </cell>
          <cell r="O30" t="str">
            <v>93130</v>
          </cell>
          <cell r="P30">
            <v>402161.65</v>
          </cell>
          <cell r="Q30">
            <v>718617.96</v>
          </cell>
          <cell r="R30">
            <v>973833.36</v>
          </cell>
          <cell r="S30">
            <v>1305772.8700000001</v>
          </cell>
          <cell r="T30">
            <v>1625407.6600000001</v>
          </cell>
          <cell r="U30">
            <v>1845757.8900000001</v>
          </cell>
          <cell r="V30">
            <v>2063305.83</v>
          </cell>
          <cell r="W30">
            <v>2364507.7200000002</v>
          </cell>
          <cell r="X30">
            <v>2701447.0700000003</v>
          </cell>
          <cell r="Y30">
            <v>2701447.0700000003</v>
          </cell>
          <cell r="Z30">
            <v>2701447.0700000003</v>
          </cell>
          <cell r="AA30">
            <v>2701447.0700000003</v>
          </cell>
        </row>
        <row r="31">
          <cell r="A31" t="str">
            <v>93150</v>
          </cell>
          <cell r="B31">
            <v>40482.629999999997</v>
          </cell>
          <cell r="C31">
            <v>174544.55</v>
          </cell>
          <cell r="D31">
            <v>144281.84</v>
          </cell>
          <cell r="E31">
            <v>9173.06</v>
          </cell>
          <cell r="F31">
            <v>107321.3</v>
          </cell>
          <cell r="G31">
            <v>68657.23</v>
          </cell>
          <cell r="H31">
            <v>100005.52</v>
          </cell>
          <cell r="I31">
            <v>120258.91</v>
          </cell>
          <cell r="J31">
            <v>121412.44</v>
          </cell>
          <cell r="O31" t="str">
            <v>93150</v>
          </cell>
          <cell r="P31">
            <v>40482.629999999997</v>
          </cell>
          <cell r="Q31">
            <v>215027.18</v>
          </cell>
          <cell r="R31">
            <v>359309.02</v>
          </cell>
          <cell r="S31">
            <v>368482.08</v>
          </cell>
          <cell r="T31">
            <v>475803.38</v>
          </cell>
          <cell r="U31">
            <v>544460.61</v>
          </cell>
          <cell r="V31">
            <v>644466.13</v>
          </cell>
          <cell r="W31">
            <v>764725.04</v>
          </cell>
          <cell r="X31">
            <v>886137.48</v>
          </cell>
          <cell r="Y31">
            <v>886137.48</v>
          </cell>
          <cell r="Z31">
            <v>886137.48</v>
          </cell>
          <cell r="AA31">
            <v>886137.48</v>
          </cell>
        </row>
        <row r="32">
          <cell r="A32" t="str">
            <v>93200</v>
          </cell>
          <cell r="B32">
            <v>466430.75</v>
          </cell>
          <cell r="C32">
            <v>632403.06999999995</v>
          </cell>
          <cell r="D32">
            <v>534486.89</v>
          </cell>
          <cell r="E32">
            <v>607306.52</v>
          </cell>
          <cell r="F32">
            <v>549195.06999999995</v>
          </cell>
          <cell r="G32">
            <v>462982.16</v>
          </cell>
          <cell r="H32">
            <v>328035.63</v>
          </cell>
          <cell r="I32">
            <v>571094.92000000004</v>
          </cell>
          <cell r="J32">
            <v>615783.69999999995</v>
          </cell>
          <cell r="O32" t="str">
            <v>93200</v>
          </cell>
          <cell r="P32">
            <v>466430.75</v>
          </cell>
          <cell r="Q32">
            <v>1098833.8199999998</v>
          </cell>
          <cell r="R32">
            <v>1633320.71</v>
          </cell>
          <cell r="S32">
            <v>2240627.23</v>
          </cell>
          <cell r="T32">
            <v>2789822.3</v>
          </cell>
          <cell r="U32">
            <v>3252804.46</v>
          </cell>
          <cell r="V32">
            <v>3580840.09</v>
          </cell>
          <cell r="W32">
            <v>4151935.01</v>
          </cell>
          <cell r="X32">
            <v>4767718.71</v>
          </cell>
          <cell r="Y32">
            <v>4767718.71</v>
          </cell>
          <cell r="Z32">
            <v>4767718.71</v>
          </cell>
          <cell r="AA32">
            <v>4767718.71</v>
          </cell>
        </row>
        <row r="33">
          <cell r="A33" t="str">
            <v>93300</v>
          </cell>
          <cell r="B33">
            <v>318087.92</v>
          </cell>
          <cell r="C33">
            <v>399476.15</v>
          </cell>
          <cell r="D33">
            <v>423306.91</v>
          </cell>
          <cell r="E33">
            <v>418291.79</v>
          </cell>
          <cell r="F33">
            <v>353357.96</v>
          </cell>
          <cell r="G33">
            <v>384061.18</v>
          </cell>
          <cell r="H33">
            <v>258426.69</v>
          </cell>
          <cell r="I33">
            <v>385136.55</v>
          </cell>
          <cell r="J33">
            <v>434136.87</v>
          </cell>
          <cell r="O33" t="str">
            <v>93300</v>
          </cell>
          <cell r="P33">
            <v>318087.92</v>
          </cell>
          <cell r="Q33">
            <v>717564.07000000007</v>
          </cell>
          <cell r="R33">
            <v>1140870.98</v>
          </cell>
          <cell r="S33">
            <v>1559162.77</v>
          </cell>
          <cell r="T33">
            <v>1912520.73</v>
          </cell>
          <cell r="U33">
            <v>2296581.91</v>
          </cell>
          <cell r="V33">
            <v>2555008.6</v>
          </cell>
          <cell r="W33">
            <v>2940145.15</v>
          </cell>
          <cell r="X33">
            <v>3374282.02</v>
          </cell>
          <cell r="Y33">
            <v>3374282.02</v>
          </cell>
          <cell r="Z33">
            <v>3374282.02</v>
          </cell>
          <cell r="AA33">
            <v>3374282.02</v>
          </cell>
        </row>
        <row r="34">
          <cell r="A34" t="str">
            <v>93400</v>
          </cell>
          <cell r="B34">
            <v>166675.70000000001</v>
          </cell>
          <cell r="C34">
            <v>884139.99</v>
          </cell>
          <cell r="D34">
            <v>446130.11</v>
          </cell>
          <cell r="E34">
            <v>350469.27</v>
          </cell>
          <cell r="F34">
            <v>414043.75</v>
          </cell>
          <cell r="G34">
            <v>479006.54</v>
          </cell>
          <cell r="H34">
            <v>396794.95</v>
          </cell>
          <cell r="I34">
            <v>494917.31</v>
          </cell>
          <cell r="J34">
            <v>410201.34</v>
          </cell>
          <cell r="O34" t="str">
            <v>93400</v>
          </cell>
          <cell r="P34">
            <v>166675.70000000001</v>
          </cell>
          <cell r="Q34">
            <v>1050815.69</v>
          </cell>
          <cell r="R34">
            <v>1496945.7999999998</v>
          </cell>
          <cell r="S34">
            <v>1847415.0699999998</v>
          </cell>
          <cell r="T34">
            <v>2261458.8199999998</v>
          </cell>
          <cell r="U34">
            <v>2740465.36</v>
          </cell>
          <cell r="V34">
            <v>3137260.31</v>
          </cell>
          <cell r="W34">
            <v>3632177.62</v>
          </cell>
          <cell r="X34">
            <v>4042378.96</v>
          </cell>
          <cell r="Y34">
            <v>4042378.96</v>
          </cell>
          <cell r="Z34">
            <v>4042378.96</v>
          </cell>
          <cell r="AA34">
            <v>4042378.96</v>
          </cell>
        </row>
        <row r="35">
          <cell r="A35" t="str">
            <v>93500</v>
          </cell>
          <cell r="B35">
            <v>574802.68000000005</v>
          </cell>
          <cell r="C35">
            <v>56956.49</v>
          </cell>
          <cell r="D35">
            <v>187665.51</v>
          </cell>
          <cell r="E35">
            <v>448583.7</v>
          </cell>
          <cell r="F35">
            <v>967807.07</v>
          </cell>
          <cell r="G35">
            <v>86891.040000000066</v>
          </cell>
          <cell r="H35">
            <v>980962.6</v>
          </cell>
          <cell r="I35">
            <v>473239.34</v>
          </cell>
          <cell r="J35">
            <v>544567.19999999995</v>
          </cell>
          <cell r="O35" t="str">
            <v>93500</v>
          </cell>
          <cell r="P35">
            <v>574802.68000000005</v>
          </cell>
          <cell r="Q35">
            <v>631759.17000000004</v>
          </cell>
          <cell r="R35">
            <v>819424.68</v>
          </cell>
          <cell r="S35">
            <v>1268008.3800000001</v>
          </cell>
          <cell r="T35">
            <v>2235815.4500000002</v>
          </cell>
          <cell r="U35">
            <v>2322706.4900000002</v>
          </cell>
          <cell r="V35">
            <v>3303669.0900000003</v>
          </cell>
          <cell r="W35">
            <v>3776908.43</v>
          </cell>
          <cell r="X35">
            <v>4321475.63</v>
          </cell>
          <cell r="Y35">
            <v>4321475.63</v>
          </cell>
          <cell r="Z35">
            <v>4321475.63</v>
          </cell>
          <cell r="AA35">
            <v>4321475.63</v>
          </cell>
        </row>
        <row r="36">
          <cell r="A36" t="str">
            <v>93550</v>
          </cell>
          <cell r="B36">
            <v>775470.37</v>
          </cell>
          <cell r="C36">
            <v>660106.03</v>
          </cell>
          <cell r="D36">
            <v>677748.4</v>
          </cell>
          <cell r="E36">
            <v>801176.83</v>
          </cell>
          <cell r="F36">
            <v>735927.51</v>
          </cell>
          <cell r="G36">
            <v>547091.32999999996</v>
          </cell>
          <cell r="H36">
            <v>858161.08</v>
          </cell>
          <cell r="I36">
            <v>625363.65</v>
          </cell>
          <cell r="J36">
            <v>715900.49</v>
          </cell>
          <cell r="O36" t="str">
            <v>93550</v>
          </cell>
          <cell r="P36">
            <v>775470.37</v>
          </cell>
          <cell r="Q36">
            <v>1435576.4</v>
          </cell>
          <cell r="R36">
            <v>2113324.7999999998</v>
          </cell>
          <cell r="S36">
            <v>2914501.63</v>
          </cell>
          <cell r="T36">
            <v>3650429.1399999997</v>
          </cell>
          <cell r="U36">
            <v>4197520.47</v>
          </cell>
          <cell r="V36">
            <v>5055681.55</v>
          </cell>
          <cell r="W36">
            <v>5681045.2000000002</v>
          </cell>
          <cell r="X36">
            <v>6396945.6900000004</v>
          </cell>
          <cell r="Y36">
            <v>6396945.6900000004</v>
          </cell>
          <cell r="Z36">
            <v>6396945.6900000004</v>
          </cell>
          <cell r="AA36">
            <v>6396945.6900000004</v>
          </cell>
        </row>
        <row r="37">
          <cell r="A37" t="str">
            <v>93600</v>
          </cell>
          <cell r="B37">
            <v>1218911.99</v>
          </cell>
          <cell r="C37">
            <v>1194422.7</v>
          </cell>
          <cell r="D37">
            <v>1061550.6100000001</v>
          </cell>
          <cell r="E37">
            <v>1060979.99</v>
          </cell>
          <cell r="F37">
            <v>1203023.8600000001</v>
          </cell>
          <cell r="G37">
            <v>1165314.1499999999</v>
          </cell>
          <cell r="H37">
            <v>1165579.3899999999</v>
          </cell>
          <cell r="I37">
            <v>1294197.93</v>
          </cell>
          <cell r="J37">
            <v>1133771.8</v>
          </cell>
          <cell r="O37" t="str">
            <v>93600</v>
          </cell>
          <cell r="P37">
            <v>1218911.99</v>
          </cell>
          <cell r="Q37">
            <v>2413334.69</v>
          </cell>
          <cell r="R37">
            <v>3474885.3</v>
          </cell>
          <cell r="S37">
            <v>4535865.29</v>
          </cell>
          <cell r="T37">
            <v>5738889.1500000004</v>
          </cell>
          <cell r="U37">
            <v>6904203.3000000007</v>
          </cell>
          <cell r="V37">
            <v>8069782.6900000004</v>
          </cell>
          <cell r="W37">
            <v>9363980.620000001</v>
          </cell>
          <cell r="X37">
            <v>10497752.420000002</v>
          </cell>
          <cell r="Y37">
            <v>10497752.420000002</v>
          </cell>
          <cell r="Z37">
            <v>10497752.420000002</v>
          </cell>
          <cell r="AA37">
            <v>10497752.420000002</v>
          </cell>
        </row>
        <row r="38">
          <cell r="A38" t="str">
            <v>93650</v>
          </cell>
          <cell r="B38">
            <v>2358279.0499999998</v>
          </cell>
          <cell r="C38">
            <v>1683877.04</v>
          </cell>
          <cell r="D38">
            <v>2202545.4700000002</v>
          </cell>
          <cell r="E38">
            <v>2226436.61</v>
          </cell>
          <cell r="F38">
            <v>1716917.06</v>
          </cell>
          <cell r="G38">
            <v>3140712.33</v>
          </cell>
          <cell r="H38">
            <v>2456515.4700000002</v>
          </cell>
          <cell r="I38">
            <v>2209956.81</v>
          </cell>
          <cell r="J38">
            <v>5419539.0000000019</v>
          </cell>
          <cell r="O38" t="str">
            <v>93650</v>
          </cell>
          <cell r="P38">
            <v>2358279.0499999998</v>
          </cell>
          <cell r="Q38">
            <v>4042156.09</v>
          </cell>
          <cell r="R38">
            <v>6244701.5600000005</v>
          </cell>
          <cell r="S38">
            <v>8471138.1699999999</v>
          </cell>
          <cell r="T38">
            <v>10188055.23</v>
          </cell>
          <cell r="U38">
            <v>13328767.560000001</v>
          </cell>
          <cell r="V38">
            <v>15785283.030000001</v>
          </cell>
          <cell r="W38">
            <v>17995239.84</v>
          </cell>
          <cell r="X38">
            <v>23414778.840000004</v>
          </cell>
          <cell r="Y38">
            <v>23414778.840000004</v>
          </cell>
          <cell r="Z38">
            <v>23414778.840000004</v>
          </cell>
          <cell r="AA38">
            <v>23414778.840000004</v>
          </cell>
        </row>
        <row r="39">
          <cell r="A39" t="str">
            <v>93700</v>
          </cell>
          <cell r="B39">
            <v>727319.35</v>
          </cell>
          <cell r="C39">
            <v>438319.41</v>
          </cell>
          <cell r="D39">
            <v>780954.1</v>
          </cell>
          <cell r="E39">
            <v>671152.48</v>
          </cell>
          <cell r="F39">
            <v>670773.32999999996</v>
          </cell>
          <cell r="G39">
            <v>669424.89</v>
          </cell>
          <cell r="H39">
            <v>532002.03</v>
          </cell>
          <cell r="I39">
            <v>598141.31000000006</v>
          </cell>
          <cell r="J39">
            <v>678485.71</v>
          </cell>
          <cell r="O39" t="str">
            <v>93700</v>
          </cell>
          <cell r="P39">
            <v>727319.35</v>
          </cell>
          <cell r="Q39">
            <v>1165638.76</v>
          </cell>
          <cell r="R39">
            <v>1946592.8599999999</v>
          </cell>
          <cell r="S39">
            <v>2617745.34</v>
          </cell>
          <cell r="T39">
            <v>3288518.67</v>
          </cell>
          <cell r="U39">
            <v>3957943.56</v>
          </cell>
          <cell r="V39">
            <v>4489945.59</v>
          </cell>
          <cell r="W39">
            <v>5088086.9000000004</v>
          </cell>
          <cell r="X39">
            <v>5766572.6100000003</v>
          </cell>
          <cell r="Y39">
            <v>5766572.6100000003</v>
          </cell>
          <cell r="Z39">
            <v>5766572.6100000003</v>
          </cell>
          <cell r="AA39">
            <v>5766572.6100000003</v>
          </cell>
        </row>
        <row r="40">
          <cell r="A40" t="str">
            <v>93750</v>
          </cell>
          <cell r="B40">
            <v>1111973.77</v>
          </cell>
          <cell r="C40">
            <v>1498143.25</v>
          </cell>
          <cell r="D40">
            <v>999781.04</v>
          </cell>
          <cell r="E40">
            <v>1300780.54</v>
          </cell>
          <cell r="F40">
            <v>1240287.68</v>
          </cell>
          <cell r="G40">
            <v>1044857.09</v>
          </cell>
          <cell r="H40">
            <v>944630.37</v>
          </cell>
          <cell r="I40">
            <v>1405966.99</v>
          </cell>
          <cell r="J40">
            <v>1240348.3400000001</v>
          </cell>
          <cell r="O40" t="str">
            <v>93750</v>
          </cell>
          <cell r="P40">
            <v>1111973.77</v>
          </cell>
          <cell r="Q40">
            <v>2610117.02</v>
          </cell>
          <cell r="R40">
            <v>3609898.06</v>
          </cell>
          <cell r="S40">
            <v>4910678.5999999996</v>
          </cell>
          <cell r="T40">
            <v>6150966.2799999993</v>
          </cell>
          <cell r="U40">
            <v>7195823.3699999992</v>
          </cell>
          <cell r="V40">
            <v>8140453.7399999993</v>
          </cell>
          <cell r="W40">
            <v>9546420.7299999986</v>
          </cell>
          <cell r="X40">
            <v>10786769.069999998</v>
          </cell>
          <cell r="Y40">
            <v>10786769.069999998</v>
          </cell>
          <cell r="Z40">
            <v>10786769.069999998</v>
          </cell>
          <cell r="AA40">
            <v>10786769.069999998</v>
          </cell>
        </row>
        <row r="41">
          <cell r="A41" t="str">
            <v>93755</v>
          </cell>
          <cell r="E41">
            <v>511881.91</v>
          </cell>
          <cell r="F41">
            <v>368461.5</v>
          </cell>
          <cell r="G41">
            <v>360739.09</v>
          </cell>
          <cell r="H41">
            <v>307714.59999999998</v>
          </cell>
          <cell r="I41">
            <v>450936.79</v>
          </cell>
          <cell r="J41">
            <v>539852.43000000005</v>
          </cell>
          <cell r="O41" t="str">
            <v>93755</v>
          </cell>
          <cell r="P41">
            <v>0</v>
          </cell>
          <cell r="Q41">
            <v>0</v>
          </cell>
          <cell r="R41">
            <v>0</v>
          </cell>
          <cell r="S41">
            <v>511881.91</v>
          </cell>
          <cell r="T41">
            <v>880343.40999999992</v>
          </cell>
          <cell r="U41">
            <v>1241082.5</v>
          </cell>
          <cell r="V41">
            <v>1548797.1</v>
          </cell>
          <cell r="W41">
            <v>1999733.8900000001</v>
          </cell>
          <cell r="X41">
            <v>2539586.3200000003</v>
          </cell>
          <cell r="Y41">
            <v>2539586.3200000003</v>
          </cell>
          <cell r="Z41">
            <v>2539586.3200000003</v>
          </cell>
          <cell r="AA41">
            <v>2539586.3200000003</v>
          </cell>
        </row>
        <row r="42">
          <cell r="A42" t="str">
            <v>93800</v>
          </cell>
          <cell r="B42">
            <v>572866.98</v>
          </cell>
          <cell r="C42">
            <v>1369316.31</v>
          </cell>
          <cell r="D42">
            <v>758405.56</v>
          </cell>
          <cell r="E42">
            <v>1106107.7</v>
          </cell>
          <cell r="F42">
            <v>638145.28000000003</v>
          </cell>
          <cell r="G42">
            <v>715703.27</v>
          </cell>
          <cell r="H42">
            <v>474723</v>
          </cell>
          <cell r="I42">
            <v>821912.5</v>
          </cell>
          <cell r="J42">
            <v>598235.06000000006</v>
          </cell>
          <cell r="O42" t="str">
            <v>93800</v>
          </cell>
          <cell r="P42">
            <v>572866.98</v>
          </cell>
          <cell r="Q42">
            <v>1942183.29</v>
          </cell>
          <cell r="R42">
            <v>2700588.85</v>
          </cell>
          <cell r="S42">
            <v>3806696.55</v>
          </cell>
          <cell r="T42">
            <v>4444841.83</v>
          </cell>
          <cell r="U42">
            <v>5160545.0999999996</v>
          </cell>
          <cell r="V42">
            <v>5635268.0999999996</v>
          </cell>
          <cell r="W42">
            <v>6457180.5999999996</v>
          </cell>
          <cell r="X42">
            <v>7055415.6600000001</v>
          </cell>
          <cell r="Y42">
            <v>7055415.6600000001</v>
          </cell>
          <cell r="Z42">
            <v>7055415.6600000001</v>
          </cell>
          <cell r="AA42">
            <v>7055415.6600000001</v>
          </cell>
        </row>
        <row r="43">
          <cell r="A43" t="str">
            <v>93850</v>
          </cell>
          <cell r="B43">
            <v>759733.8</v>
          </cell>
          <cell r="C43">
            <v>800381.13</v>
          </cell>
          <cell r="D43">
            <v>750862.33</v>
          </cell>
          <cell r="E43">
            <v>645342.57999999996</v>
          </cell>
          <cell r="F43">
            <v>740134.77</v>
          </cell>
          <cell r="G43">
            <v>622517.11</v>
          </cell>
          <cell r="H43">
            <v>602597.02</v>
          </cell>
          <cell r="I43">
            <v>633334.91</v>
          </cell>
          <cell r="J43">
            <v>553335.21</v>
          </cell>
          <cell r="O43" t="str">
            <v>93850</v>
          </cell>
          <cell r="P43">
            <v>759733.8</v>
          </cell>
          <cell r="Q43">
            <v>1560114.9300000002</v>
          </cell>
          <cell r="R43">
            <v>2310977.2600000002</v>
          </cell>
          <cell r="S43">
            <v>2956319.8400000003</v>
          </cell>
          <cell r="T43">
            <v>3696454.6100000003</v>
          </cell>
          <cell r="U43">
            <v>4318971.7200000007</v>
          </cell>
          <cell r="V43">
            <v>4921568.74</v>
          </cell>
          <cell r="W43">
            <v>5554903.6500000004</v>
          </cell>
          <cell r="X43">
            <v>6108238.8600000003</v>
          </cell>
          <cell r="Y43">
            <v>6108238.8600000003</v>
          </cell>
          <cell r="Z43">
            <v>6108238.8600000003</v>
          </cell>
          <cell r="AA43">
            <v>6108238.8600000003</v>
          </cell>
        </row>
        <row r="44">
          <cell r="A44" t="str">
            <v>93900</v>
          </cell>
          <cell r="B44">
            <v>197200.52</v>
          </cell>
          <cell r="C44">
            <v>149903.72</v>
          </cell>
          <cell r="D44">
            <v>139839.48000000001</v>
          </cell>
          <cell r="E44">
            <v>172218.21</v>
          </cell>
          <cell r="F44">
            <v>196478.18</v>
          </cell>
          <cell r="G44">
            <v>168157.74</v>
          </cell>
          <cell r="H44">
            <v>184461.13</v>
          </cell>
          <cell r="I44">
            <v>183368.55</v>
          </cell>
          <cell r="J44">
            <v>102828.86</v>
          </cell>
          <cell r="O44" t="str">
            <v>93900</v>
          </cell>
          <cell r="P44">
            <v>197200.52</v>
          </cell>
          <cell r="Q44">
            <v>347104.24</v>
          </cell>
          <cell r="R44">
            <v>486943.72</v>
          </cell>
          <cell r="S44">
            <v>659161.92999999993</v>
          </cell>
          <cell r="T44">
            <v>855640.10999999987</v>
          </cell>
          <cell r="U44">
            <v>1023797.8499999999</v>
          </cell>
          <cell r="V44">
            <v>1208258.98</v>
          </cell>
          <cell r="W44">
            <v>1391627.53</v>
          </cell>
          <cell r="X44">
            <v>1494456.3900000001</v>
          </cell>
          <cell r="Y44">
            <v>1494456.3900000001</v>
          </cell>
          <cell r="Z44">
            <v>1494456.3900000001</v>
          </cell>
          <cell r="AA44">
            <v>1494456.3900000001</v>
          </cell>
        </row>
        <row r="45">
          <cell r="A45" t="str">
            <v>93910</v>
          </cell>
          <cell r="B45">
            <v>463042.39</v>
          </cell>
          <cell r="C45">
            <v>739315.9</v>
          </cell>
          <cell r="D45">
            <v>624629.06000000006</v>
          </cell>
          <cell r="E45">
            <v>515284.52</v>
          </cell>
          <cell r="F45">
            <v>647018.17000000004</v>
          </cell>
          <cell r="G45">
            <v>701803.98</v>
          </cell>
          <cell r="H45">
            <v>607567.79</v>
          </cell>
          <cell r="I45">
            <v>596272.54</v>
          </cell>
          <cell r="J45">
            <v>510434.79</v>
          </cell>
          <cell r="O45" t="str">
            <v>93910</v>
          </cell>
          <cell r="P45">
            <v>463042.39</v>
          </cell>
          <cell r="Q45">
            <v>1202358.29</v>
          </cell>
          <cell r="R45">
            <v>1826987.35</v>
          </cell>
          <cell r="S45">
            <v>2342271.87</v>
          </cell>
          <cell r="T45">
            <v>2989290.04</v>
          </cell>
          <cell r="U45">
            <v>3691094.02</v>
          </cell>
          <cell r="V45">
            <v>4298661.8100000005</v>
          </cell>
          <cell r="W45">
            <v>4894934.3500000006</v>
          </cell>
          <cell r="X45">
            <v>5405369.1400000006</v>
          </cell>
          <cell r="Y45">
            <v>5405369.1400000006</v>
          </cell>
          <cell r="Z45">
            <v>5405369.1400000006</v>
          </cell>
          <cell r="AA45">
            <v>5405369.1400000006</v>
          </cell>
        </row>
        <row r="46">
          <cell r="A46" t="str">
            <v>93920</v>
          </cell>
          <cell r="B46">
            <v>1083120.26</v>
          </cell>
          <cell r="C46">
            <v>375386.28</v>
          </cell>
          <cell r="D46">
            <v>227947.08</v>
          </cell>
          <cell r="E46">
            <v>682570.17</v>
          </cell>
          <cell r="F46">
            <v>622381.71</v>
          </cell>
          <cell r="G46">
            <v>587426.86</v>
          </cell>
          <cell r="H46">
            <v>1097771.8500000001</v>
          </cell>
          <cell r="I46">
            <v>557018.4</v>
          </cell>
          <cell r="J46">
            <v>1241134.95</v>
          </cell>
          <cell r="O46" t="str">
            <v>93920</v>
          </cell>
          <cell r="P46">
            <v>1083120.26</v>
          </cell>
          <cell r="Q46">
            <v>1458506.54</v>
          </cell>
          <cell r="R46">
            <v>1686453.62</v>
          </cell>
          <cell r="S46">
            <v>2369023.79</v>
          </cell>
          <cell r="T46">
            <v>2991405.5</v>
          </cell>
          <cell r="U46">
            <v>3578832.36</v>
          </cell>
          <cell r="V46">
            <v>4676604.21</v>
          </cell>
          <cell r="W46">
            <v>5233622.6100000003</v>
          </cell>
          <cell r="X46">
            <v>6474757.5600000005</v>
          </cell>
          <cell r="Y46">
            <v>6474757.5600000005</v>
          </cell>
          <cell r="Z46">
            <v>6474757.5600000005</v>
          </cell>
          <cell r="AA46">
            <v>6474757.5600000005</v>
          </cell>
        </row>
        <row r="47">
          <cell r="A47" t="str">
            <v>93930</v>
          </cell>
          <cell r="B47">
            <v>503253.07</v>
          </cell>
          <cell r="C47">
            <v>649279.89</v>
          </cell>
          <cell r="D47">
            <v>173137.34</v>
          </cell>
          <cell r="E47">
            <v>723989.02</v>
          </cell>
          <cell r="F47">
            <v>392686.9</v>
          </cell>
          <cell r="G47">
            <v>581295.93999999994</v>
          </cell>
          <cell r="H47">
            <v>565798.24</v>
          </cell>
          <cell r="I47">
            <v>501445.91</v>
          </cell>
          <cell r="J47">
            <v>572687</v>
          </cell>
          <cell r="O47" t="str">
            <v>93930</v>
          </cell>
          <cell r="P47">
            <v>503253.07</v>
          </cell>
          <cell r="Q47">
            <v>1152532.96</v>
          </cell>
          <cell r="R47">
            <v>1325670.3</v>
          </cell>
          <cell r="S47">
            <v>2049659.32</v>
          </cell>
          <cell r="T47">
            <v>2442346.2200000002</v>
          </cell>
          <cell r="U47">
            <v>3023642.16</v>
          </cell>
          <cell r="V47">
            <v>3589440.4000000004</v>
          </cell>
          <cell r="W47">
            <v>4090886.3100000005</v>
          </cell>
          <cell r="X47">
            <v>4663573.3100000005</v>
          </cell>
          <cell r="Y47">
            <v>4663573.3100000005</v>
          </cell>
          <cell r="Z47">
            <v>4663573.3100000005</v>
          </cell>
          <cell r="AA47">
            <v>4663573.3100000005</v>
          </cell>
        </row>
        <row r="48">
          <cell r="A48" t="str">
            <v>93940</v>
          </cell>
          <cell r="B48">
            <v>252585.82</v>
          </cell>
          <cell r="C48">
            <v>411386.43</v>
          </cell>
          <cell r="D48">
            <v>258155.07</v>
          </cell>
          <cell r="E48">
            <v>292729.99</v>
          </cell>
          <cell r="F48">
            <v>345405.52</v>
          </cell>
          <cell r="G48">
            <v>333705.39</v>
          </cell>
          <cell r="H48">
            <v>274337.63</v>
          </cell>
          <cell r="I48">
            <v>295643.25</v>
          </cell>
          <cell r="J48">
            <v>308278.09000000003</v>
          </cell>
          <cell r="O48" t="str">
            <v>93940</v>
          </cell>
          <cell r="P48">
            <v>252585.82</v>
          </cell>
          <cell r="Q48">
            <v>663972.25</v>
          </cell>
          <cell r="R48">
            <v>922127.32000000007</v>
          </cell>
          <cell r="S48">
            <v>1214857.31</v>
          </cell>
          <cell r="T48">
            <v>1560262.83</v>
          </cell>
          <cell r="U48">
            <v>1893968.2200000002</v>
          </cell>
          <cell r="V48">
            <v>2168305.85</v>
          </cell>
          <cell r="W48">
            <v>2463949.1</v>
          </cell>
          <cell r="X48">
            <v>2772227.19</v>
          </cell>
          <cell r="Y48">
            <v>2772227.19</v>
          </cell>
          <cell r="Z48">
            <v>2772227.19</v>
          </cell>
          <cell r="AA48">
            <v>2772227.19</v>
          </cell>
        </row>
        <row r="49">
          <cell r="A49" t="str">
            <v>93950</v>
          </cell>
          <cell r="B49">
            <v>538864.72</v>
          </cell>
          <cell r="C49">
            <v>456766.91</v>
          </cell>
          <cell r="D49">
            <v>678204.88</v>
          </cell>
          <cell r="E49">
            <v>262510.24</v>
          </cell>
          <cell r="F49">
            <v>240521.89</v>
          </cell>
          <cell r="G49">
            <v>375490.56</v>
          </cell>
          <cell r="H49">
            <v>374488.03</v>
          </cell>
          <cell r="I49">
            <v>434291.88</v>
          </cell>
          <cell r="J49">
            <v>327398.58</v>
          </cell>
          <cell r="O49" t="str">
            <v>93950</v>
          </cell>
          <cell r="P49">
            <v>538864.72</v>
          </cell>
          <cell r="Q49">
            <v>995631.62999999989</v>
          </cell>
          <cell r="R49">
            <v>1673836.5099999998</v>
          </cell>
          <cell r="S49">
            <v>1936346.7499999998</v>
          </cell>
          <cell r="T49">
            <v>2176868.6399999997</v>
          </cell>
          <cell r="U49">
            <v>2552359.1999999997</v>
          </cell>
          <cell r="V49">
            <v>2926847.2299999995</v>
          </cell>
          <cell r="W49">
            <v>3361139.1099999994</v>
          </cell>
          <cell r="X49">
            <v>3688537.6899999995</v>
          </cell>
          <cell r="Y49">
            <v>3688537.6899999995</v>
          </cell>
          <cell r="Z49">
            <v>3688537.6899999995</v>
          </cell>
          <cell r="AA49">
            <v>3688537.6899999995</v>
          </cell>
        </row>
        <row r="50">
          <cell r="A50" t="str">
            <v>92345</v>
          </cell>
          <cell r="J50">
            <v>10595</v>
          </cell>
          <cell r="O50" t="str">
            <v>92345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10595</v>
          </cell>
          <cell r="Y50">
            <v>10595</v>
          </cell>
          <cell r="Z50">
            <v>10595</v>
          </cell>
          <cell r="AA50">
            <v>10595</v>
          </cell>
        </row>
        <row r="51">
          <cell r="A51" t="str">
            <v>92356</v>
          </cell>
          <cell r="I51">
            <v>2011.79</v>
          </cell>
          <cell r="J51">
            <v>-105.85</v>
          </cell>
          <cell r="O51" t="str">
            <v>92356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2011.79</v>
          </cell>
          <cell r="X51">
            <v>1905.94</v>
          </cell>
          <cell r="Y51">
            <v>1905.94</v>
          </cell>
          <cell r="Z51">
            <v>1905.94</v>
          </cell>
          <cell r="AA51">
            <v>1905.94</v>
          </cell>
        </row>
        <row r="52">
          <cell r="A52" t="str">
            <v>92394</v>
          </cell>
          <cell r="J52">
            <v>2261.09</v>
          </cell>
          <cell r="O52" t="str">
            <v>92394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2261.09</v>
          </cell>
          <cell r="Y52">
            <v>2261.09</v>
          </cell>
          <cell r="Z52">
            <v>2261.09</v>
          </cell>
          <cell r="AA52">
            <v>2261.09</v>
          </cell>
        </row>
        <row r="53">
          <cell r="O53" t="str">
            <v>Totalt</v>
          </cell>
          <cell r="P53">
            <v>15158173.500000002</v>
          </cell>
          <cell r="Q53">
            <v>30240132.810000002</v>
          </cell>
          <cell r="R53">
            <v>44023400.440000005</v>
          </cell>
          <cell r="S53">
            <v>60007732.700000003</v>
          </cell>
          <cell r="T53">
            <v>74873996.210000008</v>
          </cell>
          <cell r="U53">
            <v>92908293.300000012</v>
          </cell>
          <cell r="V53">
            <v>107912361.93000001</v>
          </cell>
          <cell r="W53">
            <v>123948291.04000001</v>
          </cell>
          <cell r="X53">
            <v>143766527.56</v>
          </cell>
          <cell r="Y53">
            <v>143766527.56</v>
          </cell>
          <cell r="Z53">
            <v>143766527.56</v>
          </cell>
          <cell r="AA53">
            <v>143766527.56</v>
          </cell>
        </row>
        <row r="54"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</sheetData>
      <sheetData sheetId="12">
        <row r="8">
          <cell r="O8">
            <v>0</v>
          </cell>
          <cell r="P8">
            <v>-3253058.74</v>
          </cell>
          <cell r="Q8">
            <v>-6804979.9000000004</v>
          </cell>
          <cell r="R8">
            <v>-5587279.3100000005</v>
          </cell>
          <cell r="S8">
            <v>-4555082.0100000007</v>
          </cell>
          <cell r="T8">
            <v>-4029511.3200000008</v>
          </cell>
          <cell r="U8">
            <v>-1975689.6800000009</v>
          </cell>
          <cell r="V8">
            <v>-1862725.9000000008</v>
          </cell>
          <cell r="W8">
            <v>-801891.48000000091</v>
          </cell>
          <cell r="X8">
            <v>-226879.35000000149</v>
          </cell>
          <cell r="Y8">
            <v>-226879.35000000149</v>
          </cell>
          <cell r="Z8">
            <v>-226879.35000000149</v>
          </cell>
          <cell r="AA8">
            <v>-226879.35000000149</v>
          </cell>
        </row>
        <row r="9">
          <cell r="A9" t="str">
            <v>1000</v>
          </cell>
          <cell r="C9">
            <v>10734.55</v>
          </cell>
          <cell r="D9">
            <v>99372.68</v>
          </cell>
          <cell r="E9">
            <v>105783.9</v>
          </cell>
          <cell r="F9">
            <v>1945.82</v>
          </cell>
          <cell r="G9">
            <v>105987.06</v>
          </cell>
          <cell r="H9">
            <v>310557.03000000003</v>
          </cell>
          <cell r="I9">
            <v>30048.79</v>
          </cell>
          <cell r="J9">
            <v>69861.3</v>
          </cell>
          <cell r="O9" t="str">
            <v>1000</v>
          </cell>
          <cell r="P9">
            <v>0</v>
          </cell>
          <cell r="Q9">
            <v>10734.55</v>
          </cell>
          <cell r="R9">
            <v>110107.23</v>
          </cell>
          <cell r="S9">
            <v>215891.13</v>
          </cell>
          <cell r="T9">
            <v>217836.95</v>
          </cell>
          <cell r="U9">
            <v>323824.01</v>
          </cell>
          <cell r="V9">
            <v>634381.04</v>
          </cell>
          <cell r="W9">
            <v>664429.83000000007</v>
          </cell>
          <cell r="X9">
            <v>734291.13000000012</v>
          </cell>
          <cell r="Y9">
            <v>734291.13000000012</v>
          </cell>
          <cell r="Z9">
            <v>734291.13000000012</v>
          </cell>
          <cell r="AA9">
            <v>734291.13000000012</v>
          </cell>
        </row>
        <row r="10">
          <cell r="A10" t="str">
            <v>1001</v>
          </cell>
          <cell r="C10">
            <v>783</v>
          </cell>
          <cell r="D10">
            <v>13757.66</v>
          </cell>
          <cell r="E10">
            <v>980.31</v>
          </cell>
          <cell r="G10">
            <v>6624.6</v>
          </cell>
          <cell r="H10">
            <v>9402.5</v>
          </cell>
          <cell r="J10">
            <v>4466.13</v>
          </cell>
          <cell r="O10" t="str">
            <v>1001</v>
          </cell>
          <cell r="P10">
            <v>0</v>
          </cell>
          <cell r="Q10">
            <v>783</v>
          </cell>
          <cell r="R10">
            <v>14540.66</v>
          </cell>
          <cell r="S10">
            <v>15520.97</v>
          </cell>
          <cell r="T10">
            <v>15520.97</v>
          </cell>
          <cell r="U10">
            <v>22145.57</v>
          </cell>
          <cell r="V10">
            <v>31548.07</v>
          </cell>
          <cell r="W10">
            <v>31548.07</v>
          </cell>
          <cell r="X10">
            <v>36014.199999999997</v>
          </cell>
          <cell r="Y10">
            <v>36014.199999999997</v>
          </cell>
          <cell r="Z10">
            <v>36014.199999999997</v>
          </cell>
          <cell r="AA10">
            <v>36014.199999999997</v>
          </cell>
        </row>
        <row r="11">
          <cell r="A11" t="str">
            <v>1003</v>
          </cell>
          <cell r="B11">
            <v>7252.82</v>
          </cell>
          <cell r="C11">
            <v>11719.36</v>
          </cell>
          <cell r="H11">
            <v>16566.939999999999</v>
          </cell>
          <cell r="O11" t="str">
            <v>1003</v>
          </cell>
          <cell r="P11">
            <v>7252.82</v>
          </cell>
          <cell r="Q11">
            <v>18972.18</v>
          </cell>
          <cell r="R11">
            <v>18972.18</v>
          </cell>
          <cell r="S11">
            <v>18972.18</v>
          </cell>
          <cell r="T11">
            <v>18972.18</v>
          </cell>
          <cell r="U11">
            <v>18972.18</v>
          </cell>
          <cell r="V11">
            <v>35539.119999999995</v>
          </cell>
          <cell r="W11">
            <v>35539.119999999995</v>
          </cell>
          <cell r="X11">
            <v>35539.119999999995</v>
          </cell>
          <cell r="Y11">
            <v>35539.119999999995</v>
          </cell>
          <cell r="Z11">
            <v>35539.119999999995</v>
          </cell>
          <cell r="AA11">
            <v>35539.119999999995</v>
          </cell>
        </row>
        <row r="12">
          <cell r="A12" t="str">
            <v>1004</v>
          </cell>
          <cell r="B12">
            <v>125256.69</v>
          </cell>
          <cell r="C12">
            <v>152568.29</v>
          </cell>
          <cell r="D12">
            <v>254694.15</v>
          </cell>
          <cell r="E12">
            <v>255796.06</v>
          </cell>
          <cell r="F12">
            <v>373843.05</v>
          </cell>
          <cell r="G12">
            <v>218222.04</v>
          </cell>
          <cell r="H12">
            <v>193944.73</v>
          </cell>
          <cell r="I12">
            <v>230540.95</v>
          </cell>
          <cell r="J12">
            <v>231949.71</v>
          </cell>
          <cell r="O12" t="str">
            <v>1004</v>
          </cell>
          <cell r="P12">
            <v>125256.69</v>
          </cell>
          <cell r="Q12">
            <v>277824.98</v>
          </cell>
          <cell r="R12">
            <v>532519.13</v>
          </cell>
          <cell r="S12">
            <v>788315.19</v>
          </cell>
          <cell r="T12">
            <v>1162158.24</v>
          </cell>
          <cell r="U12">
            <v>1380380.28</v>
          </cell>
          <cell r="V12">
            <v>1574325.01</v>
          </cell>
          <cell r="W12">
            <v>1804865.96</v>
          </cell>
          <cell r="X12">
            <v>2036815.67</v>
          </cell>
          <cell r="Y12">
            <v>2036815.67</v>
          </cell>
          <cell r="Z12">
            <v>2036815.67</v>
          </cell>
          <cell r="AA12">
            <v>2036815.67</v>
          </cell>
        </row>
        <row r="13">
          <cell r="A13" t="str">
            <v>1005</v>
          </cell>
          <cell r="C13">
            <v>70422.179999999993</v>
          </cell>
          <cell r="E13">
            <v>0</v>
          </cell>
          <cell r="O13" t="str">
            <v>1005</v>
          </cell>
          <cell r="P13">
            <v>0</v>
          </cell>
          <cell r="Q13">
            <v>70422.179999999993</v>
          </cell>
          <cell r="R13">
            <v>70422.179999999993</v>
          </cell>
          <cell r="S13">
            <v>70422.179999999993</v>
          </cell>
          <cell r="T13">
            <v>70422.179999999993</v>
          </cell>
          <cell r="U13">
            <v>70422.179999999993</v>
          </cell>
          <cell r="V13">
            <v>70422.179999999993</v>
          </cell>
          <cell r="W13">
            <v>70422.179999999993</v>
          </cell>
          <cell r="X13">
            <v>70422.179999999993</v>
          </cell>
          <cell r="Y13">
            <v>70422.179999999993</v>
          </cell>
          <cell r="Z13">
            <v>70422.179999999993</v>
          </cell>
          <cell r="AA13">
            <v>70422.179999999993</v>
          </cell>
        </row>
        <row r="14">
          <cell r="A14" t="str">
            <v>1006</v>
          </cell>
          <cell r="B14">
            <v>125329.58</v>
          </cell>
          <cell r="C14">
            <v>72683.47</v>
          </cell>
          <cell r="D14">
            <v>2657.66</v>
          </cell>
          <cell r="E14">
            <v>97391.8</v>
          </cell>
          <cell r="F14">
            <v>32741.93</v>
          </cell>
          <cell r="G14">
            <v>79330.53</v>
          </cell>
          <cell r="H14">
            <v>96612.89</v>
          </cell>
          <cell r="I14">
            <v>9633.06</v>
          </cell>
          <cell r="J14">
            <v>50100.41</v>
          </cell>
          <cell r="O14" t="str">
            <v>1006</v>
          </cell>
          <cell r="P14">
            <v>125329.58</v>
          </cell>
          <cell r="Q14">
            <v>198013.05</v>
          </cell>
          <cell r="R14">
            <v>200670.71</v>
          </cell>
          <cell r="S14">
            <v>298062.51</v>
          </cell>
          <cell r="T14">
            <v>330804.44</v>
          </cell>
          <cell r="U14">
            <v>410134.97</v>
          </cell>
          <cell r="V14">
            <v>506747.86</v>
          </cell>
          <cell r="W14">
            <v>516380.92</v>
          </cell>
          <cell r="X14">
            <v>566481.32999999996</v>
          </cell>
          <cell r="Y14">
            <v>566481.32999999996</v>
          </cell>
          <cell r="Z14">
            <v>566481.32999999996</v>
          </cell>
          <cell r="AA14">
            <v>566481.32999999996</v>
          </cell>
        </row>
        <row r="15">
          <cell r="A15" t="str">
            <v>1007</v>
          </cell>
          <cell r="C15">
            <v>93265.33</v>
          </cell>
          <cell r="D15">
            <v>104084.64</v>
          </cell>
          <cell r="F15">
            <v>67436.7</v>
          </cell>
          <cell r="H15">
            <v>6677.42</v>
          </cell>
          <cell r="J15">
            <v>71000.009999999995</v>
          </cell>
          <cell r="O15" t="str">
            <v>1007</v>
          </cell>
          <cell r="P15">
            <v>0</v>
          </cell>
          <cell r="Q15">
            <v>93265.33</v>
          </cell>
          <cell r="R15">
            <v>197349.97</v>
          </cell>
          <cell r="S15">
            <v>197349.97</v>
          </cell>
          <cell r="T15">
            <v>264786.67</v>
          </cell>
          <cell r="U15">
            <v>264786.67</v>
          </cell>
          <cell r="V15">
            <v>271464.08999999997</v>
          </cell>
          <cell r="W15">
            <v>271464.08999999997</v>
          </cell>
          <cell r="X15">
            <v>342464.1</v>
          </cell>
          <cell r="Y15">
            <v>342464.1</v>
          </cell>
          <cell r="Z15">
            <v>342464.1</v>
          </cell>
          <cell r="AA15">
            <v>342464.1</v>
          </cell>
        </row>
        <row r="16">
          <cell r="A16" t="str">
            <v>1008</v>
          </cell>
          <cell r="B16">
            <v>65075.49</v>
          </cell>
          <cell r="C16">
            <v>4339.5200000000004</v>
          </cell>
          <cell r="D16">
            <v>1577.82</v>
          </cell>
          <cell r="E16">
            <v>20674.13</v>
          </cell>
          <cell r="F16">
            <v>433.87</v>
          </cell>
          <cell r="G16">
            <v>1880.24</v>
          </cell>
          <cell r="H16">
            <v>51478.720000000001</v>
          </cell>
          <cell r="J16">
            <v>1446.37</v>
          </cell>
          <cell r="O16" t="str">
            <v>1008</v>
          </cell>
          <cell r="P16">
            <v>65075.49</v>
          </cell>
          <cell r="Q16">
            <v>69415.009999999995</v>
          </cell>
          <cell r="R16">
            <v>70992.83</v>
          </cell>
          <cell r="S16">
            <v>91666.96</v>
          </cell>
          <cell r="T16">
            <v>92100.83</v>
          </cell>
          <cell r="U16">
            <v>93981.07</v>
          </cell>
          <cell r="V16">
            <v>145459.79</v>
          </cell>
          <cell r="W16">
            <v>145459.79</v>
          </cell>
          <cell r="X16">
            <v>146906.16</v>
          </cell>
          <cell r="Y16">
            <v>146906.16</v>
          </cell>
          <cell r="Z16">
            <v>146906.16</v>
          </cell>
          <cell r="AA16">
            <v>146906.16</v>
          </cell>
        </row>
        <row r="17">
          <cell r="A17" t="str">
            <v>1012</v>
          </cell>
          <cell r="B17">
            <v>43359.92</v>
          </cell>
          <cell r="C17">
            <v>1703.22</v>
          </cell>
          <cell r="D17">
            <v>1883.87</v>
          </cell>
          <cell r="F17">
            <v>570.53</v>
          </cell>
          <cell r="H17">
            <v>465.56</v>
          </cell>
          <cell r="O17" t="str">
            <v>1012</v>
          </cell>
          <cell r="P17">
            <v>43359.92</v>
          </cell>
          <cell r="Q17">
            <v>45063.14</v>
          </cell>
          <cell r="R17">
            <v>46947.01</v>
          </cell>
          <cell r="S17">
            <v>46947.01</v>
          </cell>
          <cell r="T17">
            <v>47517.54</v>
          </cell>
          <cell r="U17">
            <v>47517.54</v>
          </cell>
          <cell r="V17">
            <v>47983.1</v>
          </cell>
          <cell r="W17">
            <v>47983.1</v>
          </cell>
          <cell r="X17">
            <v>47983.1</v>
          </cell>
          <cell r="Y17">
            <v>47983.1</v>
          </cell>
          <cell r="Z17">
            <v>47983.1</v>
          </cell>
          <cell r="AA17">
            <v>47983.1</v>
          </cell>
        </row>
        <row r="18">
          <cell r="A18" t="str">
            <v>1013</v>
          </cell>
          <cell r="C18">
            <v>3800</v>
          </cell>
          <cell r="D18">
            <v>10462.9</v>
          </cell>
          <cell r="E18">
            <v>13703.63</v>
          </cell>
          <cell r="F18">
            <v>13165.73</v>
          </cell>
          <cell r="G18">
            <v>3600</v>
          </cell>
          <cell r="H18">
            <v>1923.79</v>
          </cell>
          <cell r="O18" t="str">
            <v>1013</v>
          </cell>
          <cell r="P18">
            <v>0</v>
          </cell>
          <cell r="Q18">
            <v>3800</v>
          </cell>
          <cell r="R18">
            <v>14262.9</v>
          </cell>
          <cell r="S18">
            <v>27966.53</v>
          </cell>
          <cell r="T18">
            <v>41132.259999999995</v>
          </cell>
          <cell r="U18">
            <v>44732.259999999995</v>
          </cell>
          <cell r="V18">
            <v>46656.049999999996</v>
          </cell>
          <cell r="W18">
            <v>46656.049999999996</v>
          </cell>
          <cell r="X18">
            <v>46656.049999999996</v>
          </cell>
          <cell r="Y18">
            <v>46656.049999999996</v>
          </cell>
          <cell r="Z18">
            <v>46656.049999999996</v>
          </cell>
          <cell r="AA18">
            <v>46656.049999999996</v>
          </cell>
        </row>
        <row r="19">
          <cell r="A19" t="str">
            <v>1016</v>
          </cell>
          <cell r="D19">
            <v>3514.5</v>
          </cell>
          <cell r="O19" t="str">
            <v>1016</v>
          </cell>
          <cell r="P19">
            <v>0</v>
          </cell>
          <cell r="Q19">
            <v>0</v>
          </cell>
          <cell r="R19">
            <v>3514.5</v>
          </cell>
          <cell r="S19">
            <v>3514.5</v>
          </cell>
          <cell r="T19">
            <v>3514.5</v>
          </cell>
          <cell r="U19">
            <v>3514.5</v>
          </cell>
          <cell r="V19">
            <v>3514.5</v>
          </cell>
          <cell r="W19">
            <v>3514.5</v>
          </cell>
          <cell r="X19">
            <v>3514.5</v>
          </cell>
          <cell r="Y19">
            <v>3514.5</v>
          </cell>
          <cell r="Z19">
            <v>3514.5</v>
          </cell>
          <cell r="AA19">
            <v>3514.5</v>
          </cell>
        </row>
        <row r="20">
          <cell r="A20" t="str">
            <v>1017</v>
          </cell>
          <cell r="C20">
            <v>240346.37</v>
          </cell>
          <cell r="D20">
            <v>5232.26</v>
          </cell>
          <cell r="F20">
            <v>4409.68</v>
          </cell>
          <cell r="G20">
            <v>54895.97</v>
          </cell>
          <cell r="H20">
            <v>79080</v>
          </cell>
          <cell r="I20">
            <v>8561.69</v>
          </cell>
          <cell r="J20">
            <v>55701.61</v>
          </cell>
          <cell r="O20" t="str">
            <v>1017</v>
          </cell>
          <cell r="P20">
            <v>0</v>
          </cell>
          <cell r="Q20">
            <v>240346.37</v>
          </cell>
          <cell r="R20">
            <v>245578.63</v>
          </cell>
          <cell r="S20">
            <v>245578.63</v>
          </cell>
          <cell r="T20">
            <v>249988.31</v>
          </cell>
          <cell r="U20">
            <v>304884.28000000003</v>
          </cell>
          <cell r="V20">
            <v>383964.28</v>
          </cell>
          <cell r="W20">
            <v>392525.97000000003</v>
          </cell>
          <cell r="X20">
            <v>448227.58</v>
          </cell>
          <cell r="Y20">
            <v>448227.58</v>
          </cell>
          <cell r="Z20">
            <v>448227.58</v>
          </cell>
          <cell r="AA20">
            <v>448227.58</v>
          </cell>
        </row>
        <row r="21">
          <cell r="A21" t="str">
            <v>1020</v>
          </cell>
          <cell r="F21">
            <v>8747.98</v>
          </cell>
          <cell r="O21" t="str">
            <v>1020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8747.98</v>
          </cell>
          <cell r="U21">
            <v>8747.98</v>
          </cell>
          <cell r="V21">
            <v>8747.98</v>
          </cell>
          <cell r="W21">
            <v>8747.98</v>
          </cell>
          <cell r="X21">
            <v>8747.98</v>
          </cell>
          <cell r="Y21">
            <v>8747.98</v>
          </cell>
          <cell r="Z21">
            <v>8747.98</v>
          </cell>
          <cell r="AA21">
            <v>8747.98</v>
          </cell>
        </row>
        <row r="22">
          <cell r="A22" t="str">
            <v>1023</v>
          </cell>
          <cell r="B22">
            <v>186060.88</v>
          </cell>
          <cell r="C22">
            <v>273755.46999999997</v>
          </cell>
          <cell r="D22">
            <v>146726.29</v>
          </cell>
          <cell r="E22">
            <v>13760.05</v>
          </cell>
          <cell r="F22">
            <v>92150</v>
          </cell>
          <cell r="O22" t="str">
            <v>1023</v>
          </cell>
          <cell r="P22">
            <v>186060.88</v>
          </cell>
          <cell r="Q22">
            <v>459816.35</v>
          </cell>
          <cell r="R22">
            <v>606542.64</v>
          </cell>
          <cell r="S22">
            <v>620302.69000000006</v>
          </cell>
          <cell r="T22">
            <v>712452.69000000006</v>
          </cell>
          <cell r="U22">
            <v>712452.69000000006</v>
          </cell>
          <cell r="V22">
            <v>712452.69000000006</v>
          </cell>
          <cell r="W22">
            <v>712452.69000000006</v>
          </cell>
          <cell r="X22">
            <v>712452.69000000006</v>
          </cell>
          <cell r="Y22">
            <v>712452.69000000006</v>
          </cell>
          <cell r="Z22">
            <v>712452.69000000006</v>
          </cell>
          <cell r="AA22">
            <v>712452.69000000006</v>
          </cell>
        </row>
        <row r="23">
          <cell r="A23" t="str">
            <v>1026</v>
          </cell>
          <cell r="B23">
            <v>62901.73</v>
          </cell>
          <cell r="C23">
            <v>38014.53</v>
          </cell>
          <cell r="D23">
            <v>34565.15</v>
          </cell>
          <cell r="E23">
            <v>81638.86</v>
          </cell>
          <cell r="F23">
            <v>2472.1799999999998</v>
          </cell>
          <cell r="G23">
            <v>7131.05</v>
          </cell>
          <cell r="H23">
            <v>35044.94</v>
          </cell>
          <cell r="I23">
            <v>32319.35</v>
          </cell>
          <cell r="J23">
            <v>5726.61</v>
          </cell>
          <cell r="O23" t="str">
            <v>1026</v>
          </cell>
          <cell r="P23">
            <v>62901.73</v>
          </cell>
          <cell r="Q23">
            <v>100916.26000000001</v>
          </cell>
          <cell r="R23">
            <v>135481.41</v>
          </cell>
          <cell r="S23">
            <v>217120.27000000002</v>
          </cell>
          <cell r="T23">
            <v>219592.45</v>
          </cell>
          <cell r="U23">
            <v>226723.5</v>
          </cell>
          <cell r="V23">
            <v>261768.44</v>
          </cell>
          <cell r="W23">
            <v>294087.78999999998</v>
          </cell>
          <cell r="X23">
            <v>299814.39999999997</v>
          </cell>
          <cell r="Y23">
            <v>299814.39999999997</v>
          </cell>
          <cell r="Z23">
            <v>299814.39999999997</v>
          </cell>
          <cell r="AA23">
            <v>299814.39999999997</v>
          </cell>
        </row>
        <row r="24">
          <cell r="A24" t="str">
            <v>1027</v>
          </cell>
          <cell r="B24">
            <v>695086.45</v>
          </cell>
          <cell r="C24">
            <v>115326.13</v>
          </cell>
          <cell r="D24">
            <v>760261.6</v>
          </cell>
          <cell r="E24">
            <v>297089.65000000002</v>
          </cell>
          <cell r="F24">
            <v>326701.17</v>
          </cell>
          <cell r="G24">
            <v>232835.29</v>
          </cell>
          <cell r="H24">
            <v>484816.37</v>
          </cell>
          <cell r="I24">
            <v>9011.7799999999897</v>
          </cell>
          <cell r="J24">
            <v>300199.38</v>
          </cell>
          <cell r="O24" t="str">
            <v>1027</v>
          </cell>
          <cell r="P24">
            <v>695086.45</v>
          </cell>
          <cell r="Q24">
            <v>810412.58</v>
          </cell>
          <cell r="R24">
            <v>1570674.18</v>
          </cell>
          <cell r="S24">
            <v>1867763.83</v>
          </cell>
          <cell r="T24">
            <v>2194465</v>
          </cell>
          <cell r="U24">
            <v>2427300.29</v>
          </cell>
          <cell r="V24">
            <v>2912116.66</v>
          </cell>
          <cell r="W24">
            <v>2921128.44</v>
          </cell>
          <cell r="X24">
            <v>3221327.82</v>
          </cell>
          <cell r="Y24">
            <v>3221327.82</v>
          </cell>
          <cell r="Z24">
            <v>3221327.82</v>
          </cell>
          <cell r="AA24">
            <v>3221327.82</v>
          </cell>
        </row>
        <row r="25">
          <cell r="A25" t="str">
            <v>1029</v>
          </cell>
          <cell r="B25">
            <v>376376.57</v>
          </cell>
          <cell r="C25">
            <v>576810.86</v>
          </cell>
          <cell r="D25">
            <v>461804.34</v>
          </cell>
          <cell r="E25">
            <v>420383.84</v>
          </cell>
          <cell r="F25">
            <v>451789.49</v>
          </cell>
          <cell r="G25">
            <v>613153.30000000005</v>
          </cell>
          <cell r="H25">
            <v>328829.34000000003</v>
          </cell>
          <cell r="I25">
            <v>473806.46</v>
          </cell>
          <cell r="J25">
            <v>330743.55</v>
          </cell>
          <cell r="O25" t="str">
            <v>1029</v>
          </cell>
          <cell r="P25">
            <v>376376.57</v>
          </cell>
          <cell r="Q25">
            <v>953187.42999999993</v>
          </cell>
          <cell r="R25">
            <v>1414991.77</v>
          </cell>
          <cell r="S25">
            <v>1835375.61</v>
          </cell>
          <cell r="T25">
            <v>2287165.1</v>
          </cell>
          <cell r="U25">
            <v>2900318.4000000004</v>
          </cell>
          <cell r="V25">
            <v>3229147.74</v>
          </cell>
          <cell r="W25">
            <v>3702954.2</v>
          </cell>
          <cell r="X25">
            <v>4033697.75</v>
          </cell>
          <cell r="Y25">
            <v>4033697.75</v>
          </cell>
          <cell r="Z25">
            <v>4033697.75</v>
          </cell>
          <cell r="AA25">
            <v>4033697.75</v>
          </cell>
        </row>
        <row r="26">
          <cell r="A26" t="str">
            <v>1032</v>
          </cell>
          <cell r="C26">
            <v>14815</v>
          </cell>
          <cell r="D26">
            <v>2037.9</v>
          </cell>
          <cell r="E26">
            <v>2037.9</v>
          </cell>
          <cell r="F26">
            <v>2037.9</v>
          </cell>
          <cell r="G26">
            <v>2037.9</v>
          </cell>
          <cell r="H26">
            <v>61294.35</v>
          </cell>
          <cell r="I26">
            <v>6113.71</v>
          </cell>
          <cell r="O26" t="str">
            <v>1032</v>
          </cell>
          <cell r="P26">
            <v>0</v>
          </cell>
          <cell r="Q26">
            <v>14815</v>
          </cell>
          <cell r="R26">
            <v>16852.900000000001</v>
          </cell>
          <cell r="S26">
            <v>18890.800000000003</v>
          </cell>
          <cell r="T26">
            <v>20928.700000000004</v>
          </cell>
          <cell r="U26">
            <v>22966.600000000006</v>
          </cell>
          <cell r="V26">
            <v>84260.950000000012</v>
          </cell>
          <cell r="W26">
            <v>90374.660000000018</v>
          </cell>
          <cell r="X26">
            <v>90374.660000000018</v>
          </cell>
          <cell r="Y26">
            <v>90374.660000000018</v>
          </cell>
          <cell r="Z26">
            <v>90374.660000000018</v>
          </cell>
          <cell r="AA26">
            <v>90374.660000000018</v>
          </cell>
        </row>
        <row r="27">
          <cell r="A27" t="str">
            <v>1033</v>
          </cell>
          <cell r="C27">
            <v>5635.5</v>
          </cell>
          <cell r="E27">
            <v>10967.04</v>
          </cell>
          <cell r="G27">
            <v>5369.89</v>
          </cell>
          <cell r="H27">
            <v>3882.51</v>
          </cell>
          <cell r="J27">
            <v>660.98</v>
          </cell>
          <cell r="O27" t="str">
            <v>1033</v>
          </cell>
          <cell r="P27">
            <v>0</v>
          </cell>
          <cell r="Q27">
            <v>5635.5</v>
          </cell>
          <cell r="R27">
            <v>5635.5</v>
          </cell>
          <cell r="S27">
            <v>16602.54</v>
          </cell>
          <cell r="T27">
            <v>16602.54</v>
          </cell>
          <cell r="U27">
            <v>21972.43</v>
          </cell>
          <cell r="V27">
            <v>25854.940000000002</v>
          </cell>
          <cell r="W27">
            <v>25854.940000000002</v>
          </cell>
          <cell r="X27">
            <v>26515.920000000002</v>
          </cell>
          <cell r="Y27">
            <v>26515.920000000002</v>
          </cell>
          <cell r="Z27">
            <v>26515.920000000002</v>
          </cell>
          <cell r="AA27">
            <v>26515.920000000002</v>
          </cell>
        </row>
        <row r="28">
          <cell r="A28" t="str">
            <v>1035</v>
          </cell>
          <cell r="D28">
            <v>74637</v>
          </cell>
          <cell r="O28" t="str">
            <v>1035</v>
          </cell>
          <cell r="P28">
            <v>0</v>
          </cell>
          <cell r="Q28">
            <v>0</v>
          </cell>
          <cell r="R28">
            <v>74637</v>
          </cell>
          <cell r="S28">
            <v>74637</v>
          </cell>
          <cell r="T28">
            <v>74637</v>
          </cell>
          <cell r="U28">
            <v>74637</v>
          </cell>
          <cell r="V28">
            <v>74637</v>
          </cell>
          <cell r="W28">
            <v>74637</v>
          </cell>
          <cell r="X28">
            <v>74637</v>
          </cell>
          <cell r="Y28">
            <v>74637</v>
          </cell>
          <cell r="Z28">
            <v>74637</v>
          </cell>
          <cell r="AA28">
            <v>74637</v>
          </cell>
        </row>
        <row r="29">
          <cell r="A29" t="str">
            <v>1036</v>
          </cell>
          <cell r="D29">
            <v>36366.379999999997</v>
          </cell>
          <cell r="O29" t="str">
            <v>1036</v>
          </cell>
          <cell r="P29">
            <v>0</v>
          </cell>
          <cell r="Q29">
            <v>0</v>
          </cell>
          <cell r="R29">
            <v>36366.379999999997</v>
          </cell>
          <cell r="S29">
            <v>36366.379999999997</v>
          </cell>
          <cell r="T29">
            <v>36366.379999999997</v>
          </cell>
          <cell r="U29">
            <v>36366.379999999997</v>
          </cell>
          <cell r="V29">
            <v>36366.379999999997</v>
          </cell>
          <cell r="W29">
            <v>36366.379999999997</v>
          </cell>
          <cell r="X29">
            <v>36366.379999999997</v>
          </cell>
          <cell r="Y29">
            <v>36366.379999999997</v>
          </cell>
          <cell r="Z29">
            <v>36366.379999999997</v>
          </cell>
          <cell r="AA29">
            <v>36366.379999999997</v>
          </cell>
        </row>
        <row r="30">
          <cell r="A30" t="str">
            <v>1037</v>
          </cell>
          <cell r="E30">
            <v>-14702.36</v>
          </cell>
          <cell r="H30">
            <v>1922.08</v>
          </cell>
          <cell r="I30">
            <v>2108.29</v>
          </cell>
          <cell r="J30">
            <v>7333.49</v>
          </cell>
          <cell r="O30" t="str">
            <v>1037</v>
          </cell>
          <cell r="P30">
            <v>0</v>
          </cell>
          <cell r="Q30">
            <v>0</v>
          </cell>
          <cell r="R30">
            <v>0</v>
          </cell>
          <cell r="S30">
            <v>-14702.36</v>
          </cell>
          <cell r="T30">
            <v>-14702.36</v>
          </cell>
          <cell r="U30">
            <v>-14702.36</v>
          </cell>
          <cell r="V30">
            <v>-12780.28</v>
          </cell>
          <cell r="W30">
            <v>-10671.990000000002</v>
          </cell>
          <cell r="X30">
            <v>-3338.5000000000018</v>
          </cell>
          <cell r="Y30">
            <v>-3338.5000000000018</v>
          </cell>
          <cell r="Z30">
            <v>-3338.5000000000018</v>
          </cell>
          <cell r="AA30">
            <v>-3338.5000000000018</v>
          </cell>
        </row>
        <row r="31">
          <cell r="A31" t="str">
            <v>1038</v>
          </cell>
          <cell r="E31">
            <v>-10429.4</v>
          </cell>
          <cell r="O31" t="str">
            <v>1038</v>
          </cell>
          <cell r="P31">
            <v>0</v>
          </cell>
          <cell r="Q31">
            <v>0</v>
          </cell>
          <cell r="R31">
            <v>0</v>
          </cell>
          <cell r="S31">
            <v>-10429.4</v>
          </cell>
          <cell r="T31">
            <v>-10429.4</v>
          </cell>
          <cell r="U31">
            <v>-10429.4</v>
          </cell>
          <cell r="V31">
            <v>-10429.4</v>
          </cell>
          <cell r="W31">
            <v>-10429.4</v>
          </cell>
          <cell r="X31">
            <v>-10429.4</v>
          </cell>
          <cell r="Y31">
            <v>-10429.4</v>
          </cell>
          <cell r="Z31">
            <v>-10429.4</v>
          </cell>
          <cell r="AA31">
            <v>-10429.4</v>
          </cell>
        </row>
        <row r="32">
          <cell r="A32" t="str">
            <v>1040</v>
          </cell>
          <cell r="D32">
            <v>145</v>
          </cell>
          <cell r="E32">
            <v>4817.68</v>
          </cell>
          <cell r="I32">
            <v>450</v>
          </cell>
          <cell r="O32" t="str">
            <v>1040</v>
          </cell>
          <cell r="P32">
            <v>0</v>
          </cell>
          <cell r="Q32">
            <v>0</v>
          </cell>
          <cell r="R32">
            <v>145</v>
          </cell>
          <cell r="S32">
            <v>4962.68</v>
          </cell>
          <cell r="T32">
            <v>4962.68</v>
          </cell>
          <cell r="U32">
            <v>4962.68</v>
          </cell>
          <cell r="V32">
            <v>4962.68</v>
          </cell>
          <cell r="W32">
            <v>5412.68</v>
          </cell>
          <cell r="X32">
            <v>5412.68</v>
          </cell>
          <cell r="Y32">
            <v>5412.68</v>
          </cell>
          <cell r="Z32">
            <v>5412.68</v>
          </cell>
          <cell r="AA32">
            <v>5412.68</v>
          </cell>
        </row>
        <row r="33">
          <cell r="A33" t="str">
            <v>1041</v>
          </cell>
          <cell r="C33">
            <v>23551.18</v>
          </cell>
          <cell r="E33">
            <v>-1.0000000002037268E-2</v>
          </cell>
          <cell r="O33" t="str">
            <v>1041</v>
          </cell>
          <cell r="P33">
            <v>0</v>
          </cell>
          <cell r="Q33">
            <v>23551.18</v>
          </cell>
          <cell r="R33">
            <v>23551.18</v>
          </cell>
          <cell r="S33">
            <v>23551.17</v>
          </cell>
          <cell r="T33">
            <v>23551.17</v>
          </cell>
          <cell r="U33">
            <v>23551.17</v>
          </cell>
          <cell r="V33">
            <v>23551.17</v>
          </cell>
          <cell r="W33">
            <v>23551.17</v>
          </cell>
          <cell r="X33">
            <v>23551.17</v>
          </cell>
          <cell r="Y33">
            <v>23551.17</v>
          </cell>
          <cell r="Z33">
            <v>23551.17</v>
          </cell>
          <cell r="AA33">
            <v>23551.17</v>
          </cell>
        </row>
        <row r="34">
          <cell r="A34" t="str">
            <v>1046</v>
          </cell>
          <cell r="D34">
            <v>136259.07</v>
          </cell>
          <cell r="F34">
            <v>3348.79</v>
          </cell>
          <cell r="O34" t="str">
            <v>1046</v>
          </cell>
          <cell r="P34">
            <v>0</v>
          </cell>
          <cell r="Q34">
            <v>0</v>
          </cell>
          <cell r="R34">
            <v>136259.07</v>
          </cell>
          <cell r="S34">
            <v>136259.07</v>
          </cell>
          <cell r="T34">
            <v>139607.86000000002</v>
          </cell>
          <cell r="U34">
            <v>139607.86000000002</v>
          </cell>
          <cell r="V34">
            <v>139607.86000000002</v>
          </cell>
          <cell r="W34">
            <v>139607.86000000002</v>
          </cell>
          <cell r="X34">
            <v>139607.86000000002</v>
          </cell>
          <cell r="Y34">
            <v>139607.86000000002</v>
          </cell>
          <cell r="Z34">
            <v>139607.86000000002</v>
          </cell>
          <cell r="AA34">
            <v>139607.86000000002</v>
          </cell>
        </row>
        <row r="35">
          <cell r="A35" t="str">
            <v>1048</v>
          </cell>
          <cell r="C35">
            <v>21662</v>
          </cell>
          <cell r="O35" t="str">
            <v>1048</v>
          </cell>
          <cell r="P35">
            <v>0</v>
          </cell>
          <cell r="Q35">
            <v>21662</v>
          </cell>
          <cell r="R35">
            <v>21662</v>
          </cell>
          <cell r="S35">
            <v>21662</v>
          </cell>
          <cell r="T35">
            <v>21662</v>
          </cell>
          <cell r="U35">
            <v>21662</v>
          </cell>
          <cell r="V35">
            <v>21662</v>
          </cell>
          <cell r="W35">
            <v>21662</v>
          </cell>
          <cell r="X35">
            <v>21662</v>
          </cell>
          <cell r="Y35">
            <v>21662</v>
          </cell>
          <cell r="Z35">
            <v>21662</v>
          </cell>
          <cell r="AA35">
            <v>21662</v>
          </cell>
        </row>
        <row r="36">
          <cell r="A36" t="str">
            <v>1053</v>
          </cell>
          <cell r="E36">
            <v>350</v>
          </cell>
          <cell r="O36" t="str">
            <v>1053</v>
          </cell>
          <cell r="P36">
            <v>0</v>
          </cell>
          <cell r="Q36">
            <v>0</v>
          </cell>
          <cell r="R36">
            <v>0</v>
          </cell>
          <cell r="S36">
            <v>350</v>
          </cell>
          <cell r="T36">
            <v>350</v>
          </cell>
          <cell r="U36">
            <v>350</v>
          </cell>
          <cell r="V36">
            <v>350</v>
          </cell>
          <cell r="W36">
            <v>350</v>
          </cell>
          <cell r="X36">
            <v>350</v>
          </cell>
          <cell r="Y36">
            <v>350</v>
          </cell>
          <cell r="Z36">
            <v>350</v>
          </cell>
          <cell r="AA36">
            <v>350</v>
          </cell>
        </row>
        <row r="37">
          <cell r="A37" t="str">
            <v>1055</v>
          </cell>
          <cell r="G37">
            <v>143.69</v>
          </cell>
          <cell r="H37">
            <v>2095.75</v>
          </cell>
          <cell r="I37">
            <v>2204.84</v>
          </cell>
          <cell r="J37">
            <v>133127.01</v>
          </cell>
          <cell r="O37" t="str">
            <v>1055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143.69</v>
          </cell>
          <cell r="V37">
            <v>2239.44</v>
          </cell>
          <cell r="W37">
            <v>4444.2800000000007</v>
          </cell>
          <cell r="X37">
            <v>137571.29</v>
          </cell>
          <cell r="Y37">
            <v>137571.29</v>
          </cell>
          <cell r="Z37">
            <v>137571.29</v>
          </cell>
          <cell r="AA37">
            <v>137571.29</v>
          </cell>
        </row>
        <row r="38">
          <cell r="O38" t="str">
            <v>Totalt</v>
          </cell>
          <cell r="P38">
            <v>-1566358.61</v>
          </cell>
          <cell r="Q38">
            <v>-3386343.81</v>
          </cell>
          <cell r="R38">
            <v>-18602.350000000093</v>
          </cell>
          <cell r="S38">
            <v>2313838.0299999998</v>
          </cell>
          <cell r="T38">
            <v>4221203.54</v>
          </cell>
          <cell r="U38">
            <v>7606236.7400000002</v>
          </cell>
          <cell r="V38">
            <v>9403795.4399999995</v>
          </cell>
          <cell r="W38">
            <v>11269428.779999999</v>
          </cell>
          <cell r="X38">
            <v>13106757.469999999</v>
          </cell>
          <cell r="Y38">
            <v>13106757.469999999</v>
          </cell>
          <cell r="Z38">
            <v>13106757.469999999</v>
          </cell>
          <cell r="AA38">
            <v>13106757.469999999</v>
          </cell>
        </row>
        <row r="39"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</row>
        <row r="40"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Fixed"/>
      <sheetName val="ConsQ107"/>
      <sheetName val="Interims_IFRS"/>
      <sheetName val="Mobile_new"/>
      <sheetName val="Analysis"/>
      <sheetName val="Interims"/>
      <sheetName val="Pen modeller"/>
      <sheetName val="Valuation"/>
      <sheetName val="George"/>
      <sheetName val="SOP"/>
      <sheetName val="Graphs"/>
      <sheetName val="quarterly"/>
      <sheetName val="Mob Norway"/>
      <sheetName val="Thai"/>
      <sheetName val="Kyiv"/>
      <sheetName val="Gram"/>
      <sheetName val="Digi"/>
      <sheetName val="Sweden"/>
      <sheetName val="Pak"/>
      <sheetName val="networks II - OLD"/>
      <sheetName val="Sonofon"/>
      <sheetName val="Pannon"/>
      <sheetName val="Serbia"/>
      <sheetName val="GDP sense check"/>
      <sheetName val="Other unts"/>
      <sheetName val="2003 deals"/>
      <sheetName val="changes q32003"/>
      <sheetName val="Notes"/>
      <sheetName val="ITU inputs for mobile"/>
      <sheetName val="buyback"/>
      <sheetName val="restated prior years"/>
      <sheetName val="Industry Model"/>
      <sheetName val="Debt"/>
      <sheetName val="Debt ratios"/>
      <sheetName val="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Group"/>
      <sheetName val="Quarterlies"/>
      <sheetName val="Valuation"/>
      <sheetName val="Wireline"/>
      <sheetName val="Market"/>
      <sheetName val="Outpayments"/>
      <sheetName val="Sheet1"/>
      <sheetName val="Global Services"/>
      <sheetName val="FRS17"/>
      <sheetName val="George"/>
      <sheetName val="Cost Analy"/>
      <sheetName val="charts"/>
      <sheetName val="questions"/>
      <sheetName val="IM"/>
      <sheetName val="Debt"/>
      <sheetName val="debt 20F"/>
      <sheetName val="Debt ratios"/>
      <sheetName val="Charts Jan 05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2">
          <cell r="K12" t="str">
            <v>UKP millions</v>
          </cell>
          <cell r="L12" t="str">
            <v>v3</v>
          </cell>
          <cell r="M12">
            <v>38008.59294386574</v>
          </cell>
        </row>
        <row r="13">
          <cell r="K13" t="str">
            <v>UKP millions</v>
          </cell>
          <cell r="L13" t="str">
            <v>v3</v>
          </cell>
          <cell r="M13">
            <v>38008.59294386574</v>
          </cell>
        </row>
        <row r="14">
          <cell r="K14" t="str">
            <v>UKP millions</v>
          </cell>
          <cell r="L14" t="str">
            <v>v3</v>
          </cell>
          <cell r="M14">
            <v>38008.59294386574</v>
          </cell>
          <cell r="AA14">
            <v>12387.769999999999</v>
          </cell>
          <cell r="AB14">
            <v>13370</v>
          </cell>
          <cell r="AC14">
            <v>14067.191011100091</v>
          </cell>
          <cell r="AD14">
            <v>13817.320772919136</v>
          </cell>
          <cell r="AE14">
            <v>13809.68496666932</v>
          </cell>
          <cell r="AF14">
            <v>14082.449148150023</v>
          </cell>
          <cell r="AG14">
            <v>14129.228105830436</v>
          </cell>
          <cell r="AH14">
            <v>14140.064355242996</v>
          </cell>
          <cell r="AI14">
            <v>14087.20710586432</v>
          </cell>
          <cell r="AJ14">
            <v>14021.5411091519</v>
          </cell>
          <cell r="AK14">
            <v>13940.313693105927</v>
          </cell>
          <cell r="AL14">
            <v>13823.741864644662</v>
          </cell>
        </row>
        <row r="15">
          <cell r="K15" t="str">
            <v>UKP millions</v>
          </cell>
          <cell r="L15" t="str">
            <v>v3</v>
          </cell>
          <cell r="M15">
            <v>38008.59294386574</v>
          </cell>
          <cell r="AA15">
            <v>344.75</v>
          </cell>
          <cell r="AB15">
            <v>361.17999999999984</v>
          </cell>
          <cell r="AC15">
            <v>330.4422676171057</v>
          </cell>
          <cell r="AD15">
            <v>394.19119123862538</v>
          </cell>
          <cell r="AE15">
            <v>354.05332148453499</v>
          </cell>
          <cell r="AF15">
            <v>162.16521066052019</v>
          </cell>
          <cell r="AG15">
            <v>124.76613676321813</v>
          </cell>
          <cell r="AH15">
            <v>167.77386253554914</v>
          </cell>
          <cell r="AI15">
            <v>194.12031483954661</v>
          </cell>
          <cell r="AJ15">
            <v>214.03415076793772</v>
          </cell>
          <cell r="AK15">
            <v>226.06293048617135</v>
          </cell>
          <cell r="AL15">
            <v>226.34094569312174</v>
          </cell>
        </row>
        <row r="16">
          <cell r="K16" t="str">
            <v>UKP millions</v>
          </cell>
          <cell r="L16" t="str">
            <v>v3</v>
          </cell>
          <cell r="M16">
            <v>38008.59294386574</v>
          </cell>
        </row>
        <row r="17">
          <cell r="K17" t="str">
            <v>UKP millions</v>
          </cell>
          <cell r="L17" t="str">
            <v>v3</v>
          </cell>
          <cell r="M17">
            <v>38008.59294386574</v>
          </cell>
          <cell r="W17">
            <v>721.7593283582089</v>
          </cell>
          <cell r="X17">
            <v>810.6343283582089</v>
          </cell>
          <cell r="Y17">
            <v>1081.6809701492537</v>
          </cell>
          <cell r="Z17">
            <v>1535.1940298507461</v>
          </cell>
          <cell r="AA17">
            <v>1941.75</v>
          </cell>
          <cell r="AB17">
            <v>1898.57</v>
          </cell>
          <cell r="AC17">
            <v>1769.3858</v>
          </cell>
          <cell r="AD17">
            <v>1663.2226519999999</v>
          </cell>
          <cell r="AE17">
            <v>1587.9857739199999</v>
          </cell>
          <cell r="AF17">
            <v>1524.4663429631996</v>
          </cell>
          <cell r="AG17">
            <v>1463.4876892446719</v>
          </cell>
          <cell r="AH17">
            <v>1404.9481816748851</v>
          </cell>
          <cell r="AI17">
            <v>1348.7502544078893</v>
          </cell>
          <cell r="AJ17">
            <v>1294.8002442315737</v>
          </cell>
          <cell r="AK17">
            <v>1243.0082344623108</v>
          </cell>
          <cell r="AL17">
            <v>1193.2879050838183</v>
          </cell>
        </row>
        <row r="18">
          <cell r="K18" t="str">
            <v>UKP millions</v>
          </cell>
          <cell r="L18" t="str">
            <v>v3</v>
          </cell>
          <cell r="M18">
            <v>38008.59294386574</v>
          </cell>
          <cell r="W18">
            <v>448.97867803837971</v>
          </cell>
          <cell r="X18">
            <v>504.26439232409399</v>
          </cell>
          <cell r="Y18">
            <v>672.87206823027725</v>
          </cell>
          <cell r="Z18">
            <v>954.98507462686575</v>
          </cell>
          <cell r="AA18">
            <v>1239.75</v>
          </cell>
          <cell r="AB18">
            <v>1309</v>
          </cell>
          <cell r="AC18">
            <v>1279.5475000000001</v>
          </cell>
          <cell r="AD18">
            <v>1241.161075</v>
          </cell>
          <cell r="AE18">
            <v>1203.9262427499998</v>
          </cell>
          <cell r="AF18">
            <v>1194.6889569999998</v>
          </cell>
          <cell r="AG18">
            <v>1194.6889569999998</v>
          </cell>
          <cell r="AH18">
            <v>1194.6889569999998</v>
          </cell>
          <cell r="AI18">
            <v>1194.6889569999998</v>
          </cell>
          <cell r="AJ18">
            <v>1194.6889569999998</v>
          </cell>
          <cell r="AK18">
            <v>1194.6889569999998</v>
          </cell>
          <cell r="AL18">
            <v>1194.6889569999998</v>
          </cell>
        </row>
        <row r="19">
          <cell r="K19" t="str">
            <v>UKP millions</v>
          </cell>
          <cell r="L19" t="str">
            <v>v3</v>
          </cell>
          <cell r="M19">
            <v>38008.59294386574</v>
          </cell>
          <cell r="W19">
            <v>1170.7380063965884</v>
          </cell>
          <cell r="X19">
            <v>1314.8987206823028</v>
          </cell>
          <cell r="Y19">
            <v>1754.553038379531</v>
          </cell>
          <cell r="Z19">
            <v>2490.1791044776119</v>
          </cell>
          <cell r="AA19">
            <v>3181.5</v>
          </cell>
          <cell r="AB19">
            <v>3207.57</v>
          </cell>
          <cell r="AC19">
            <v>3048.9333000000001</v>
          </cell>
          <cell r="AD19">
            <v>2904.3837269999999</v>
          </cell>
          <cell r="AE19">
            <v>2791.91201667</v>
          </cell>
          <cell r="AF19">
            <v>2719.1552999631995</v>
          </cell>
          <cell r="AG19">
            <v>2658.1766462446712</v>
          </cell>
          <cell r="AH19">
            <v>2599.6371386748847</v>
          </cell>
          <cell r="AI19">
            <v>2543.4392114078892</v>
          </cell>
          <cell r="AJ19">
            <v>2489.4892012315736</v>
          </cell>
          <cell r="AK19">
            <v>2437.6971914623105</v>
          </cell>
          <cell r="AL19">
            <v>2387.9768620838181</v>
          </cell>
        </row>
        <row r="20">
          <cell r="K20" t="str">
            <v>UKP millions</v>
          </cell>
          <cell r="L20" t="str">
            <v>v3</v>
          </cell>
          <cell r="M20">
            <v>38008.59294386574</v>
          </cell>
          <cell r="AA20">
            <v>3526.25</v>
          </cell>
          <cell r="AB20">
            <v>3568.75</v>
          </cell>
          <cell r="AC20">
            <v>3379.3755676171058</v>
          </cell>
          <cell r="AD20">
            <v>3298.5749182386253</v>
          </cell>
          <cell r="AE20">
            <v>3145.9653381545349</v>
          </cell>
          <cell r="AF20">
            <v>2881.3205106237197</v>
          </cell>
          <cell r="AG20">
            <v>2782.9427830078894</v>
          </cell>
          <cell r="AH20">
            <v>2767.4110012104338</v>
          </cell>
          <cell r="AI20">
            <v>2737.5595262474358</v>
          </cell>
          <cell r="AJ20">
            <v>2703.5233519995113</v>
          </cell>
          <cell r="AK20">
            <v>2663.7601219484818</v>
          </cell>
          <cell r="AL20">
            <v>2614.3178077769398</v>
          </cell>
        </row>
        <row r="21">
          <cell r="K21" t="str">
            <v>UKP millions</v>
          </cell>
          <cell r="L21" t="str">
            <v>v3</v>
          </cell>
          <cell r="M21">
            <v>38008.59294386574</v>
          </cell>
          <cell r="AA21">
            <v>819.37999999999988</v>
          </cell>
          <cell r="AB21">
            <v>445.25</v>
          </cell>
          <cell r="AC21">
            <v>582.88414993538868</v>
          </cell>
          <cell r="AD21">
            <v>641.48201070082541</v>
          </cell>
          <cell r="AE21">
            <v>699.17210170468263</v>
          </cell>
          <cell r="AF21">
            <v>755.82983505789366</v>
          </cell>
          <cell r="AG21">
            <v>809.80310581909021</v>
          </cell>
          <cell r="AH21">
            <v>853.8763578963642</v>
          </cell>
          <cell r="AI21">
            <v>888.39280864194222</v>
          </cell>
          <cell r="AJ21">
            <v>919.94926442896531</v>
          </cell>
          <cell r="AK21">
            <v>950.43277877101912</v>
          </cell>
          <cell r="AL21">
            <v>975.29784627268793</v>
          </cell>
        </row>
        <row r="22">
          <cell r="K22" t="str">
            <v>UKP millions</v>
          </cell>
          <cell r="L22" t="str">
            <v>v3</v>
          </cell>
          <cell r="M22">
            <v>38008.59294386574</v>
          </cell>
          <cell r="AA22">
            <v>16733.399999999998</v>
          </cell>
          <cell r="AB22">
            <v>17384</v>
          </cell>
          <cell r="AC22">
            <v>18029.450728652584</v>
          </cell>
          <cell r="AD22">
            <v>17757.37770185859</v>
          </cell>
          <cell r="AE22">
            <v>17654.822406528539</v>
          </cell>
          <cell r="AF22">
            <v>17719.599493831636</v>
          </cell>
          <cell r="AG22">
            <v>17721.973994657415</v>
          </cell>
          <cell r="AH22">
            <v>17761.351714349792</v>
          </cell>
          <cell r="AI22">
            <v>17713.159440753698</v>
          </cell>
          <cell r="AJ22">
            <v>17645.013725580375</v>
          </cell>
          <cell r="AK22">
            <v>17554.50659382543</v>
          </cell>
          <cell r="AL22">
            <v>17413.357518694291</v>
          </cell>
        </row>
        <row r="24">
          <cell r="L24" t="str">
            <v>v3</v>
          </cell>
          <cell r="M24">
            <v>38008.59294386574</v>
          </cell>
        </row>
        <row r="25">
          <cell r="L25" t="str">
            <v>v3</v>
          </cell>
          <cell r="M25">
            <v>38008.59294386574</v>
          </cell>
        </row>
        <row r="26">
          <cell r="L26" t="str">
            <v>v3</v>
          </cell>
          <cell r="M26">
            <v>38008.59294386574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</row>
        <row r="27">
          <cell r="K27" t="str">
            <v>UKP millions</v>
          </cell>
          <cell r="L27" t="str">
            <v>v3</v>
          </cell>
          <cell r="M27">
            <v>38008.59294386574</v>
          </cell>
        </row>
        <row r="28">
          <cell r="K28" t="str">
            <v>UKP millions</v>
          </cell>
          <cell r="L28" t="str">
            <v>v3</v>
          </cell>
          <cell r="M28">
            <v>38008.59294386574</v>
          </cell>
        </row>
        <row r="29">
          <cell r="K29" t="str">
            <v>UKP millions</v>
          </cell>
          <cell r="L29" t="str">
            <v>v3</v>
          </cell>
          <cell r="M29">
            <v>38008.59294386574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  <cell r="AE29" t="e">
            <v>#REF!</v>
          </cell>
          <cell r="AF29" t="e">
            <v>#REF!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  <cell r="AK29" t="e">
            <v>#REF!</v>
          </cell>
          <cell r="AL29" t="e">
            <v>#REF!</v>
          </cell>
        </row>
        <row r="31">
          <cell r="L31" t="str">
            <v>v3</v>
          </cell>
          <cell r="M31">
            <v>38008.59294386574</v>
          </cell>
        </row>
        <row r="32">
          <cell r="L32" t="str">
            <v>v3</v>
          </cell>
          <cell r="M32">
            <v>38008.59294386574</v>
          </cell>
        </row>
        <row r="33">
          <cell r="L33" t="str">
            <v>v3</v>
          </cell>
          <cell r="M33">
            <v>38008.59294386574</v>
          </cell>
        </row>
        <row r="34">
          <cell r="L34" t="str">
            <v>v3</v>
          </cell>
          <cell r="M34">
            <v>38008.59294386574</v>
          </cell>
        </row>
        <row r="35">
          <cell r="L35" t="str">
            <v>v3</v>
          </cell>
          <cell r="M35">
            <v>38008.59294386574</v>
          </cell>
          <cell r="W35" t="e">
            <v>#REF!</v>
          </cell>
          <cell r="X35" t="e">
            <v>#REF!</v>
          </cell>
          <cell r="Y35" t="e">
            <v>#REF!</v>
          </cell>
          <cell r="Z35" t="e">
            <v>#REF!</v>
          </cell>
          <cell r="AA35" t="e">
            <v>#REF!</v>
          </cell>
          <cell r="AB35" t="e">
            <v>#REF!</v>
          </cell>
          <cell r="AC35" t="e">
            <v>#REF!</v>
          </cell>
          <cell r="AD35" t="e">
            <v>#REF!</v>
          </cell>
          <cell r="AE35" t="e">
            <v>#REF!</v>
          </cell>
          <cell r="AF35" t="e">
            <v>#REF!</v>
          </cell>
          <cell r="AG35" t="e">
            <v>#REF!</v>
          </cell>
          <cell r="AH35" t="e">
            <v>#REF!</v>
          </cell>
          <cell r="AI35" t="e">
            <v>#REF!</v>
          </cell>
          <cell r="AJ35" t="e">
            <v>#REF!</v>
          </cell>
          <cell r="AK35" t="e">
            <v>#REF!</v>
          </cell>
          <cell r="AL35" t="e">
            <v>#REF!</v>
          </cell>
        </row>
        <row r="36">
          <cell r="L36" t="str">
            <v>v3</v>
          </cell>
          <cell r="M36">
            <v>38008.59294386574</v>
          </cell>
        </row>
        <row r="37">
          <cell r="L37" t="str">
            <v>v3</v>
          </cell>
          <cell r="M37">
            <v>38008.59294386574</v>
          </cell>
        </row>
        <row r="38">
          <cell r="L38" t="str">
            <v>v3</v>
          </cell>
          <cell r="M38">
            <v>38008.59294386574</v>
          </cell>
        </row>
        <row r="39">
          <cell r="L39" t="str">
            <v>v3</v>
          </cell>
          <cell r="M39">
            <v>38008.59294386574</v>
          </cell>
        </row>
        <row r="40">
          <cell r="L40" t="str">
            <v>v3</v>
          </cell>
          <cell r="M40">
            <v>38008.59294386574</v>
          </cell>
        </row>
        <row r="41">
          <cell r="L41" t="str">
            <v>v3</v>
          </cell>
          <cell r="M41">
            <v>38008.59294386574</v>
          </cell>
        </row>
        <row r="42">
          <cell r="L42" t="str">
            <v>v3</v>
          </cell>
          <cell r="M42">
            <v>38008.59294386574</v>
          </cell>
        </row>
        <row r="43">
          <cell r="L43" t="str">
            <v>v3</v>
          </cell>
          <cell r="M43">
            <v>38008.59294386574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</row>
        <row r="44">
          <cell r="L44" t="str">
            <v>v3</v>
          </cell>
          <cell r="M44">
            <v>38008.59294386574</v>
          </cell>
          <cell r="W44">
            <v>26582</v>
          </cell>
          <cell r="X44">
            <v>25816</v>
          </cell>
          <cell r="Y44">
            <v>25703</v>
          </cell>
          <cell r="Z44">
            <v>25306</v>
          </cell>
          <cell r="AA44">
            <v>25036</v>
          </cell>
          <cell r="AB44">
            <v>25402</v>
          </cell>
          <cell r="AC44">
            <v>25345</v>
          </cell>
          <cell r="AD44">
            <v>24885.325423607123</v>
          </cell>
          <cell r="AE44">
            <v>24330.42903683228</v>
          </cell>
          <cell r="AF44">
            <v>23784.142045250574</v>
          </cell>
          <cell r="AG44">
            <v>23246.347750596819</v>
          </cell>
          <cell r="AH44">
            <v>22716.930927631613</v>
          </cell>
          <cell r="AI44">
            <v>22195.777806350652</v>
          </cell>
          <cell r="AJ44">
            <v>21682.776054402548</v>
          </cell>
          <cell r="AK44">
            <v>21177.814759712768</v>
          </cell>
          <cell r="AL44">
            <v>20680.784413311347</v>
          </cell>
        </row>
        <row r="45">
          <cell r="L45" t="str">
            <v>v3</v>
          </cell>
          <cell r="M45">
            <v>38008.59294386574</v>
          </cell>
          <cell r="W45" t="e">
            <v>#REF!</v>
          </cell>
          <cell r="X45" t="e">
            <v>#REF!</v>
          </cell>
          <cell r="Y45" t="e">
            <v>#REF!</v>
          </cell>
          <cell r="Z45" t="e">
            <v>#REF!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</row>
        <row r="46">
          <cell r="L46" t="str">
            <v>v3</v>
          </cell>
          <cell r="M46">
            <v>38008.59294386574</v>
          </cell>
          <cell r="W46" t="e">
            <v>#REF!</v>
          </cell>
          <cell r="X46" t="e">
            <v>#REF!</v>
          </cell>
          <cell r="Y46" t="e">
            <v>#REF!</v>
          </cell>
          <cell r="Z46" t="e">
            <v>#REF!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</row>
        <row r="48">
          <cell r="L48" t="str">
            <v>v3</v>
          </cell>
          <cell r="M48">
            <v>38008.59294386574</v>
          </cell>
          <cell r="AA48">
            <v>85523</v>
          </cell>
          <cell r="AB48">
            <v>82490</v>
          </cell>
        </row>
      </sheetData>
      <sheetData sheetId="15"/>
      <sheetData sheetId="16"/>
      <sheetData sheetId="17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Group"/>
      <sheetName val="Quarterlies"/>
      <sheetName val="Valuation"/>
      <sheetName val="Wireline"/>
      <sheetName val="Market"/>
      <sheetName val="Outpayments"/>
      <sheetName val="Sheet1"/>
      <sheetName val="Global Services"/>
      <sheetName val="FRS17"/>
      <sheetName val="George"/>
      <sheetName val="Cost Analy"/>
      <sheetName val="charts"/>
      <sheetName val="questions"/>
      <sheetName val="IM"/>
      <sheetName val="Debt"/>
      <sheetName val="debt 20F"/>
      <sheetName val="Debt ratios"/>
      <sheetName val="Charts Jan 05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2">
          <cell r="K12" t="str">
            <v>UKP millions</v>
          </cell>
          <cell r="L12" t="str">
            <v>v3</v>
          </cell>
          <cell r="M12">
            <v>38008.59294386574</v>
          </cell>
        </row>
        <row r="13">
          <cell r="K13" t="str">
            <v>UKP millions</v>
          </cell>
          <cell r="L13" t="str">
            <v>v3</v>
          </cell>
          <cell r="M13">
            <v>38008.59294386574</v>
          </cell>
        </row>
        <row r="14">
          <cell r="K14" t="str">
            <v>UKP millions</v>
          </cell>
          <cell r="L14" t="str">
            <v>v3</v>
          </cell>
          <cell r="M14">
            <v>38008.59294386574</v>
          </cell>
          <cell r="AA14">
            <v>12387.769999999999</v>
          </cell>
          <cell r="AB14">
            <v>13370</v>
          </cell>
          <cell r="AC14">
            <v>14067.191011100091</v>
          </cell>
          <cell r="AD14">
            <v>13817.320772919136</v>
          </cell>
          <cell r="AE14">
            <v>13809.68496666932</v>
          </cell>
          <cell r="AF14">
            <v>14082.449148150023</v>
          </cell>
          <cell r="AG14">
            <v>14129.228105830436</v>
          </cell>
          <cell r="AH14">
            <v>14140.064355242996</v>
          </cell>
          <cell r="AI14">
            <v>14087.20710586432</v>
          </cell>
          <cell r="AJ14">
            <v>14021.5411091519</v>
          </cell>
          <cell r="AK14">
            <v>13940.313693105927</v>
          </cell>
          <cell r="AL14">
            <v>13823.741864644662</v>
          </cell>
        </row>
        <row r="15">
          <cell r="K15" t="str">
            <v>UKP millions</v>
          </cell>
          <cell r="L15" t="str">
            <v>v3</v>
          </cell>
          <cell r="M15">
            <v>38008.59294386574</v>
          </cell>
          <cell r="AA15">
            <v>344.75</v>
          </cell>
          <cell r="AB15">
            <v>361.17999999999984</v>
          </cell>
          <cell r="AC15">
            <v>330.4422676171057</v>
          </cell>
          <cell r="AD15">
            <v>394.19119123862538</v>
          </cell>
          <cell r="AE15">
            <v>354.05332148453499</v>
          </cell>
          <cell r="AF15">
            <v>162.16521066052019</v>
          </cell>
          <cell r="AG15">
            <v>124.76613676321813</v>
          </cell>
          <cell r="AH15">
            <v>167.77386253554914</v>
          </cell>
          <cell r="AI15">
            <v>194.12031483954661</v>
          </cell>
          <cell r="AJ15">
            <v>214.03415076793772</v>
          </cell>
          <cell r="AK15">
            <v>226.06293048617135</v>
          </cell>
          <cell r="AL15">
            <v>226.34094569312174</v>
          </cell>
        </row>
        <row r="16">
          <cell r="K16" t="str">
            <v>UKP millions</v>
          </cell>
          <cell r="L16" t="str">
            <v>v3</v>
          </cell>
          <cell r="M16">
            <v>38008.59294386574</v>
          </cell>
        </row>
        <row r="17">
          <cell r="K17" t="str">
            <v>UKP millions</v>
          </cell>
          <cell r="L17" t="str">
            <v>v3</v>
          </cell>
          <cell r="M17">
            <v>38008.59294386574</v>
          </cell>
          <cell r="W17">
            <v>721.7593283582089</v>
          </cell>
          <cell r="X17">
            <v>810.6343283582089</v>
          </cell>
          <cell r="Y17">
            <v>1081.6809701492537</v>
          </cell>
          <cell r="Z17">
            <v>1535.1940298507461</v>
          </cell>
          <cell r="AA17">
            <v>1941.75</v>
          </cell>
          <cell r="AB17">
            <v>1898.57</v>
          </cell>
          <cell r="AC17">
            <v>1769.3858</v>
          </cell>
          <cell r="AD17">
            <v>1663.2226519999999</v>
          </cell>
          <cell r="AE17">
            <v>1587.9857739199999</v>
          </cell>
          <cell r="AF17">
            <v>1524.4663429631996</v>
          </cell>
          <cell r="AG17">
            <v>1463.4876892446719</v>
          </cell>
          <cell r="AH17">
            <v>1404.9481816748851</v>
          </cell>
          <cell r="AI17">
            <v>1348.7502544078893</v>
          </cell>
          <cell r="AJ17">
            <v>1294.8002442315737</v>
          </cell>
          <cell r="AK17">
            <v>1243.0082344623108</v>
          </cell>
          <cell r="AL17">
            <v>1193.2879050838183</v>
          </cell>
        </row>
        <row r="18">
          <cell r="K18" t="str">
            <v>UKP millions</v>
          </cell>
          <cell r="L18" t="str">
            <v>v3</v>
          </cell>
          <cell r="M18">
            <v>38008.59294386574</v>
          </cell>
          <cell r="W18">
            <v>448.97867803837971</v>
          </cell>
          <cell r="X18">
            <v>504.26439232409399</v>
          </cell>
          <cell r="Y18">
            <v>672.87206823027725</v>
          </cell>
          <cell r="Z18">
            <v>954.98507462686575</v>
          </cell>
          <cell r="AA18">
            <v>1239.75</v>
          </cell>
          <cell r="AB18">
            <v>1309</v>
          </cell>
          <cell r="AC18">
            <v>1279.5475000000001</v>
          </cell>
          <cell r="AD18">
            <v>1241.161075</v>
          </cell>
          <cell r="AE18">
            <v>1203.9262427499998</v>
          </cell>
          <cell r="AF18">
            <v>1194.6889569999998</v>
          </cell>
          <cell r="AG18">
            <v>1194.6889569999998</v>
          </cell>
          <cell r="AH18">
            <v>1194.6889569999998</v>
          </cell>
          <cell r="AI18">
            <v>1194.6889569999998</v>
          </cell>
          <cell r="AJ18">
            <v>1194.6889569999998</v>
          </cell>
          <cell r="AK18">
            <v>1194.6889569999998</v>
          </cell>
          <cell r="AL18">
            <v>1194.6889569999998</v>
          </cell>
        </row>
        <row r="19">
          <cell r="K19" t="str">
            <v>UKP millions</v>
          </cell>
          <cell r="L19" t="str">
            <v>v3</v>
          </cell>
          <cell r="M19">
            <v>38008.59294386574</v>
          </cell>
          <cell r="W19">
            <v>1170.7380063965884</v>
          </cell>
          <cell r="X19">
            <v>1314.8987206823028</v>
          </cell>
          <cell r="Y19">
            <v>1754.553038379531</v>
          </cell>
          <cell r="Z19">
            <v>2490.1791044776119</v>
          </cell>
          <cell r="AA19">
            <v>3181.5</v>
          </cell>
          <cell r="AB19">
            <v>3207.57</v>
          </cell>
          <cell r="AC19">
            <v>3048.9333000000001</v>
          </cell>
          <cell r="AD19">
            <v>2904.3837269999999</v>
          </cell>
          <cell r="AE19">
            <v>2791.91201667</v>
          </cell>
          <cell r="AF19">
            <v>2719.1552999631995</v>
          </cell>
          <cell r="AG19">
            <v>2658.1766462446712</v>
          </cell>
          <cell r="AH19">
            <v>2599.6371386748847</v>
          </cell>
          <cell r="AI19">
            <v>2543.4392114078892</v>
          </cell>
          <cell r="AJ19">
            <v>2489.4892012315736</v>
          </cell>
          <cell r="AK19">
            <v>2437.6971914623105</v>
          </cell>
          <cell r="AL19">
            <v>2387.9768620838181</v>
          </cell>
        </row>
        <row r="20">
          <cell r="K20" t="str">
            <v>UKP millions</v>
          </cell>
          <cell r="L20" t="str">
            <v>v3</v>
          </cell>
          <cell r="M20">
            <v>38008.59294386574</v>
          </cell>
          <cell r="AA20">
            <v>3526.25</v>
          </cell>
          <cell r="AB20">
            <v>3568.75</v>
          </cell>
          <cell r="AC20">
            <v>3379.3755676171058</v>
          </cell>
          <cell r="AD20">
            <v>3298.5749182386253</v>
          </cell>
          <cell r="AE20">
            <v>3145.9653381545349</v>
          </cell>
          <cell r="AF20">
            <v>2881.3205106237197</v>
          </cell>
          <cell r="AG20">
            <v>2782.9427830078894</v>
          </cell>
          <cell r="AH20">
            <v>2767.4110012104338</v>
          </cell>
          <cell r="AI20">
            <v>2737.5595262474358</v>
          </cell>
          <cell r="AJ20">
            <v>2703.5233519995113</v>
          </cell>
          <cell r="AK20">
            <v>2663.7601219484818</v>
          </cell>
          <cell r="AL20">
            <v>2614.3178077769398</v>
          </cell>
        </row>
        <row r="21">
          <cell r="K21" t="str">
            <v>UKP millions</v>
          </cell>
          <cell r="L21" t="str">
            <v>v3</v>
          </cell>
          <cell r="M21">
            <v>38008.59294386574</v>
          </cell>
          <cell r="AA21">
            <v>819.37999999999988</v>
          </cell>
          <cell r="AB21">
            <v>445.25</v>
          </cell>
          <cell r="AC21">
            <v>582.88414993538868</v>
          </cell>
          <cell r="AD21">
            <v>641.48201070082541</v>
          </cell>
          <cell r="AE21">
            <v>699.17210170468263</v>
          </cell>
          <cell r="AF21">
            <v>755.82983505789366</v>
          </cell>
          <cell r="AG21">
            <v>809.80310581909021</v>
          </cell>
          <cell r="AH21">
            <v>853.8763578963642</v>
          </cell>
          <cell r="AI21">
            <v>888.39280864194222</v>
          </cell>
          <cell r="AJ21">
            <v>919.94926442896531</v>
          </cell>
          <cell r="AK21">
            <v>950.43277877101912</v>
          </cell>
          <cell r="AL21">
            <v>975.29784627268793</v>
          </cell>
        </row>
        <row r="22">
          <cell r="K22" t="str">
            <v>UKP millions</v>
          </cell>
          <cell r="L22" t="str">
            <v>v3</v>
          </cell>
          <cell r="M22">
            <v>38008.59294386574</v>
          </cell>
          <cell r="AA22">
            <v>16733.399999999998</v>
          </cell>
          <cell r="AB22">
            <v>17384</v>
          </cell>
          <cell r="AC22">
            <v>18029.450728652584</v>
          </cell>
          <cell r="AD22">
            <v>17757.37770185859</v>
          </cell>
          <cell r="AE22">
            <v>17654.822406528539</v>
          </cell>
          <cell r="AF22">
            <v>17719.599493831636</v>
          </cell>
          <cell r="AG22">
            <v>17721.973994657415</v>
          </cell>
          <cell r="AH22">
            <v>17761.351714349792</v>
          </cell>
          <cell r="AI22">
            <v>17713.159440753698</v>
          </cell>
          <cell r="AJ22">
            <v>17645.013725580375</v>
          </cell>
          <cell r="AK22">
            <v>17554.50659382543</v>
          </cell>
          <cell r="AL22">
            <v>17413.357518694291</v>
          </cell>
        </row>
        <row r="24">
          <cell r="L24" t="str">
            <v>v3</v>
          </cell>
          <cell r="M24">
            <v>38008.59294386574</v>
          </cell>
        </row>
        <row r="25">
          <cell r="L25" t="str">
            <v>v3</v>
          </cell>
          <cell r="M25">
            <v>38008.59294386574</v>
          </cell>
        </row>
        <row r="26">
          <cell r="L26" t="str">
            <v>v3</v>
          </cell>
          <cell r="M26">
            <v>38008.59294386574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</row>
        <row r="27">
          <cell r="K27" t="str">
            <v>UKP millions</v>
          </cell>
          <cell r="L27" t="str">
            <v>v3</v>
          </cell>
          <cell r="M27">
            <v>38008.59294386574</v>
          </cell>
        </row>
        <row r="28">
          <cell r="K28" t="str">
            <v>UKP millions</v>
          </cell>
          <cell r="L28" t="str">
            <v>v3</v>
          </cell>
          <cell r="M28">
            <v>38008.59294386574</v>
          </cell>
        </row>
        <row r="29">
          <cell r="K29" t="str">
            <v>UKP millions</v>
          </cell>
          <cell r="L29" t="str">
            <v>v3</v>
          </cell>
          <cell r="M29">
            <v>38008.59294386574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  <cell r="AE29" t="e">
            <v>#REF!</v>
          </cell>
          <cell r="AF29" t="e">
            <v>#REF!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  <cell r="AK29" t="e">
            <v>#REF!</v>
          </cell>
          <cell r="AL29" t="e">
            <v>#REF!</v>
          </cell>
        </row>
        <row r="31">
          <cell r="L31" t="str">
            <v>v3</v>
          </cell>
          <cell r="M31">
            <v>38008.59294386574</v>
          </cell>
        </row>
        <row r="32">
          <cell r="L32" t="str">
            <v>v3</v>
          </cell>
          <cell r="M32">
            <v>38008.59294386574</v>
          </cell>
        </row>
        <row r="33">
          <cell r="L33" t="str">
            <v>v3</v>
          </cell>
          <cell r="M33">
            <v>38008.59294386574</v>
          </cell>
        </row>
        <row r="34">
          <cell r="L34" t="str">
            <v>v3</v>
          </cell>
          <cell r="M34">
            <v>38008.59294386574</v>
          </cell>
        </row>
        <row r="35">
          <cell r="L35" t="str">
            <v>v3</v>
          </cell>
          <cell r="M35">
            <v>38008.59294386574</v>
          </cell>
          <cell r="W35" t="e">
            <v>#REF!</v>
          </cell>
          <cell r="X35" t="e">
            <v>#REF!</v>
          </cell>
          <cell r="Y35" t="e">
            <v>#REF!</v>
          </cell>
          <cell r="Z35" t="e">
            <v>#REF!</v>
          </cell>
          <cell r="AA35" t="e">
            <v>#REF!</v>
          </cell>
          <cell r="AB35" t="e">
            <v>#REF!</v>
          </cell>
          <cell r="AC35" t="e">
            <v>#REF!</v>
          </cell>
          <cell r="AD35" t="e">
            <v>#REF!</v>
          </cell>
          <cell r="AE35" t="e">
            <v>#REF!</v>
          </cell>
          <cell r="AF35" t="e">
            <v>#REF!</v>
          </cell>
          <cell r="AG35" t="e">
            <v>#REF!</v>
          </cell>
          <cell r="AH35" t="e">
            <v>#REF!</v>
          </cell>
          <cell r="AI35" t="e">
            <v>#REF!</v>
          </cell>
          <cell r="AJ35" t="e">
            <v>#REF!</v>
          </cell>
          <cell r="AK35" t="e">
            <v>#REF!</v>
          </cell>
          <cell r="AL35" t="e">
            <v>#REF!</v>
          </cell>
        </row>
        <row r="36">
          <cell r="L36" t="str">
            <v>v3</v>
          </cell>
          <cell r="M36">
            <v>38008.59294386574</v>
          </cell>
        </row>
        <row r="37">
          <cell r="L37" t="str">
            <v>v3</v>
          </cell>
          <cell r="M37">
            <v>38008.59294386574</v>
          </cell>
        </row>
        <row r="38">
          <cell r="L38" t="str">
            <v>v3</v>
          </cell>
          <cell r="M38">
            <v>38008.59294386574</v>
          </cell>
        </row>
        <row r="39">
          <cell r="L39" t="str">
            <v>v3</v>
          </cell>
          <cell r="M39">
            <v>38008.59294386574</v>
          </cell>
        </row>
        <row r="40">
          <cell r="L40" t="str">
            <v>v3</v>
          </cell>
          <cell r="M40">
            <v>38008.59294386574</v>
          </cell>
        </row>
        <row r="41">
          <cell r="L41" t="str">
            <v>v3</v>
          </cell>
          <cell r="M41">
            <v>38008.59294386574</v>
          </cell>
        </row>
        <row r="42">
          <cell r="L42" t="str">
            <v>v3</v>
          </cell>
          <cell r="M42">
            <v>38008.59294386574</v>
          </cell>
        </row>
        <row r="43">
          <cell r="L43" t="str">
            <v>v3</v>
          </cell>
          <cell r="M43">
            <v>38008.59294386574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</row>
        <row r="44">
          <cell r="L44" t="str">
            <v>v3</v>
          </cell>
          <cell r="M44">
            <v>38008.59294386574</v>
          </cell>
          <cell r="W44">
            <v>26582</v>
          </cell>
          <cell r="X44">
            <v>25816</v>
          </cell>
          <cell r="Y44">
            <v>25703</v>
          </cell>
          <cell r="Z44">
            <v>25306</v>
          </cell>
          <cell r="AA44">
            <v>25036</v>
          </cell>
          <cell r="AB44">
            <v>25402</v>
          </cell>
          <cell r="AC44">
            <v>25345</v>
          </cell>
          <cell r="AD44">
            <v>24885.325423607123</v>
          </cell>
          <cell r="AE44">
            <v>24330.42903683228</v>
          </cell>
          <cell r="AF44">
            <v>23784.142045250574</v>
          </cell>
          <cell r="AG44">
            <v>23246.347750596819</v>
          </cell>
          <cell r="AH44">
            <v>22716.930927631613</v>
          </cell>
          <cell r="AI44">
            <v>22195.777806350652</v>
          </cell>
          <cell r="AJ44">
            <v>21682.776054402548</v>
          </cell>
          <cell r="AK44">
            <v>21177.814759712768</v>
          </cell>
          <cell r="AL44">
            <v>20680.784413311347</v>
          </cell>
        </row>
        <row r="45">
          <cell r="L45" t="str">
            <v>v3</v>
          </cell>
          <cell r="M45">
            <v>38008.59294386574</v>
          </cell>
          <cell r="W45" t="e">
            <v>#REF!</v>
          </cell>
          <cell r="X45" t="e">
            <v>#REF!</v>
          </cell>
          <cell r="Y45" t="e">
            <v>#REF!</v>
          </cell>
          <cell r="Z45" t="e">
            <v>#REF!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</row>
        <row r="46">
          <cell r="L46" t="str">
            <v>v3</v>
          </cell>
          <cell r="M46">
            <v>38008.59294386574</v>
          </cell>
          <cell r="W46" t="e">
            <v>#REF!</v>
          </cell>
          <cell r="X46" t="e">
            <v>#REF!</v>
          </cell>
          <cell r="Y46" t="e">
            <v>#REF!</v>
          </cell>
          <cell r="Z46" t="e">
            <v>#REF!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</row>
        <row r="48">
          <cell r="L48" t="str">
            <v>v3</v>
          </cell>
          <cell r="M48">
            <v>38008.59294386574</v>
          </cell>
          <cell r="AA48">
            <v>85523</v>
          </cell>
          <cell r="AB48">
            <v>82490</v>
          </cell>
        </row>
      </sheetData>
      <sheetData sheetId="15"/>
      <sheetData sheetId="16"/>
      <sheetData sheetId="17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PL"/>
      <sheetName val="IC-PL"/>
      <sheetName val="EXT-INC"/>
      <sheetName val="TRAF-COST"/>
      <sheetName val="INT-traf-cost"/>
      <sheetName val="OWN-WORK-CAP"/>
      <sheetName val="PAYROLL"/>
      <sheetName val="OPR-COST"/>
      <sheetName val="INT-OPR-COST"/>
      <sheetName val="FIN-PL"/>
      <sheetName val="Investments"/>
      <sheetName val="M-BALANCE"/>
      <sheetName val="IC-BAL"/>
      <sheetName val="CASH"/>
      <sheetName val="PROVISIONS"/>
      <sheetName val="EQUITY"/>
      <sheetName val="COMMITMENTS"/>
      <sheetName val="PERS-ADD"/>
      <sheetName val="AQUISITIONS"/>
      <sheetName val="Statistics"/>
      <sheetName val="Definitions"/>
    </sheetNames>
    <sheetDataSet>
      <sheetData sheetId="0">
        <row r="10">
          <cell r="E10" t="str">
            <v>&lt;Code&gt;</v>
          </cell>
        </row>
        <row r="11">
          <cell r="E11" t="str">
            <v>&lt;Name&gt;</v>
          </cell>
        </row>
        <row r="12">
          <cell r="E12" t="str">
            <v>0006</v>
          </cell>
        </row>
        <row r="15">
          <cell r="E15" t="str">
            <v>NOK</v>
          </cell>
        </row>
        <row r="16">
          <cell r="E16">
            <v>36692</v>
          </cell>
        </row>
        <row r="20">
          <cell r="E20" t="str">
            <v>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TP"/>
      <sheetName val="P&amp;L"/>
      <sheetName val="BS"/>
      <sheetName val="CF"/>
      <sheetName val="Cons. Revs"/>
      <sheetName val="Prop. Revs"/>
      <sheetName val="Cons. EBITDA"/>
      <sheetName val="Prop. EBITDA"/>
      <sheetName val="EBITDA Margins"/>
      <sheetName val="Capex"/>
      <sheetName val="USA"/>
      <sheetName val="UK"/>
      <sheetName val="Germany"/>
      <sheetName val="Italy"/>
      <sheetName val="J-Phone"/>
      <sheetName val="Spain"/>
      <sheetName val="Ireland"/>
      <sheetName val="Egypt"/>
      <sheetName val="Australia"/>
      <sheetName val="NZ"/>
      <sheetName val="NL"/>
      <sheetName val="Greece"/>
      <sheetName val="Portugal"/>
      <sheetName val="Sweden"/>
      <sheetName val="Switzerland"/>
      <sheetName val="Jap Fixed"/>
      <sheetName val="SFR"/>
      <sheetName val="Belgium"/>
      <sheetName val="Arcor"/>
      <sheetName val="Cegetel7"/>
      <sheetName val="Depreciaton schedule"/>
      <sheetName val="Cash Tax"/>
      <sheetName val="Bill"/>
      <sheetName val="Multip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TP"/>
      <sheetName val="P&amp;L"/>
      <sheetName val="BS"/>
      <sheetName val="CF"/>
      <sheetName val="Cons. Revs"/>
      <sheetName val="Prop. Revs"/>
      <sheetName val="Cons. EBITDA"/>
      <sheetName val="Prop. EBITDA"/>
      <sheetName val="EBITDA Margins"/>
      <sheetName val="Capex"/>
      <sheetName val="USA"/>
      <sheetName val="UK"/>
      <sheetName val="Germany"/>
      <sheetName val="Italy"/>
      <sheetName val="J-Phone"/>
      <sheetName val="Spain"/>
      <sheetName val="Ireland"/>
      <sheetName val="Egypt"/>
      <sheetName val="Australia"/>
      <sheetName val="NZ"/>
      <sheetName val="NL"/>
      <sheetName val="Greece"/>
      <sheetName val="Portugal"/>
      <sheetName val="Sweden"/>
      <sheetName val="Switzerland"/>
      <sheetName val="Jap Fixed"/>
      <sheetName val="SFR"/>
      <sheetName val="Belgium"/>
      <sheetName val="Arcor"/>
      <sheetName val="Cegetel7"/>
      <sheetName val="Depreciaton schedule"/>
      <sheetName val="Cash Tax"/>
      <sheetName val="Bill"/>
      <sheetName val="Multip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NSR Accent">
    <a:dk1>
      <a:sysClr val="windowText" lastClr="000000"/>
    </a:dk1>
    <a:lt1>
      <a:srgbClr val="FFFFFF"/>
    </a:lt1>
    <a:dk2>
      <a:srgbClr val="263238"/>
    </a:dk2>
    <a:lt2>
      <a:srgbClr val="ECEFF1"/>
    </a:lt2>
    <a:accent1>
      <a:srgbClr val="C7FE02"/>
    </a:accent1>
    <a:accent2>
      <a:srgbClr val="E3F982"/>
    </a:accent2>
    <a:accent3>
      <a:srgbClr val="F9663E"/>
    </a:accent3>
    <a:accent4>
      <a:srgbClr val="F19375"/>
    </a:accent4>
    <a:accent5>
      <a:srgbClr val="00CA94"/>
    </a:accent5>
    <a:accent6>
      <a:srgbClr val="80D4C1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C4471-0216-41AE-A4F5-6880F554E06E}">
  <dimension ref="A8:AU39"/>
  <sheetViews>
    <sheetView showGridLines="0" tabSelected="1" topLeftCell="A3" zoomScale="96" zoomScaleNormal="115" workbookViewId="0">
      <selection activeCell="B10" sqref="B10"/>
    </sheetView>
  </sheetViews>
  <sheetFormatPr defaultColWidth="8.83984375" defaultRowHeight="11.7"/>
  <cols>
    <col min="1" max="1" width="15.578125" style="506" customWidth="1"/>
    <col min="2" max="2" width="13" style="506" customWidth="1"/>
    <col min="3" max="9" width="8.83984375" style="506"/>
    <col min="10" max="10" width="9.83984375" style="506" bestFit="1" customWidth="1"/>
    <col min="11" max="12" width="8.83984375" style="506"/>
    <col min="13" max="13" width="10.68359375" style="506" bestFit="1" customWidth="1"/>
    <col min="14" max="20" width="8.83984375" style="506"/>
    <col min="21" max="21" width="7.578125" style="506" bestFit="1" customWidth="1"/>
    <col min="22" max="16384" width="8.83984375" style="506"/>
  </cols>
  <sheetData>
    <row r="8" spans="1:20" ht="13.2" thickBot="1">
      <c r="A8" s="504"/>
      <c r="B8" s="505"/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5"/>
      <c r="P8" s="505"/>
      <c r="Q8" s="505"/>
      <c r="R8" s="505"/>
      <c r="S8" s="505"/>
      <c r="T8" s="505"/>
    </row>
    <row r="9" spans="1:20">
      <c r="A9" s="507"/>
      <c r="B9" s="507"/>
      <c r="C9" s="507"/>
      <c r="D9" s="507"/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</row>
    <row r="10" spans="1:20">
      <c r="A10" s="507"/>
      <c r="B10" s="507"/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</row>
    <row r="11" spans="1:20">
      <c r="A11" s="507"/>
      <c r="B11" s="507"/>
      <c r="C11" s="507"/>
      <c r="D11" s="507"/>
      <c r="E11" s="507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7"/>
      <c r="T11" s="507"/>
    </row>
    <row r="12" spans="1:20">
      <c r="A12" s="507"/>
      <c r="B12" s="507"/>
      <c r="C12" s="507"/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</row>
    <row r="13" spans="1:20" ht="23.1">
      <c r="A13" s="507"/>
      <c r="B13" s="508" t="s">
        <v>2924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07"/>
      <c r="P13" s="507"/>
      <c r="Q13" s="507"/>
      <c r="R13" s="507"/>
      <c r="S13" s="507"/>
      <c r="T13" s="507"/>
    </row>
    <row r="14" spans="1:20">
      <c r="A14" s="507"/>
      <c r="B14" s="507"/>
      <c r="C14" s="507"/>
      <c r="D14" s="507"/>
      <c r="E14" s="507"/>
      <c r="F14" s="507"/>
      <c r="G14" s="507"/>
      <c r="H14" s="507"/>
      <c r="I14" s="507"/>
      <c r="J14" s="507"/>
      <c r="K14" s="507"/>
      <c r="L14" s="507"/>
      <c r="M14" s="507"/>
      <c r="N14" s="507"/>
      <c r="O14" s="507"/>
      <c r="P14" s="507"/>
      <c r="Q14" s="507"/>
      <c r="R14" s="507"/>
      <c r="S14" s="507"/>
      <c r="T14" s="507"/>
    </row>
    <row r="15" spans="1:20">
      <c r="A15" s="507"/>
      <c r="B15" s="507"/>
      <c r="C15" s="507"/>
      <c r="D15" s="507"/>
      <c r="E15" s="507"/>
      <c r="F15" s="507"/>
      <c r="G15" s="507"/>
      <c r="H15" s="507"/>
      <c r="I15" s="507"/>
      <c r="J15" s="507"/>
      <c r="K15" s="507"/>
      <c r="L15" s="507"/>
      <c r="M15" s="507"/>
      <c r="N15" s="507"/>
      <c r="O15" s="507"/>
      <c r="P15" s="507"/>
      <c r="Q15" s="507"/>
      <c r="R15" s="507"/>
      <c r="S15" s="507"/>
      <c r="T15" s="507"/>
    </row>
    <row r="16" spans="1:20">
      <c r="A16" s="507"/>
      <c r="B16" s="509">
        <f ca="1">+TODAY()</f>
        <v>45322</v>
      </c>
      <c r="C16" s="507"/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7"/>
    </row>
    <row r="17" spans="1:47" ht="12.9">
      <c r="A17" s="507"/>
      <c r="B17" s="510"/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7"/>
      <c r="N17" s="507"/>
      <c r="O17" s="507"/>
      <c r="P17" s="507"/>
      <c r="Q17" s="507"/>
      <c r="R17" s="507"/>
      <c r="S17" s="507"/>
      <c r="T17" s="507"/>
    </row>
    <row r="18" spans="1:47" ht="12.9">
      <c r="A18" s="507"/>
      <c r="B18" s="510"/>
      <c r="C18" s="507"/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507"/>
      <c r="P18" s="507"/>
      <c r="Q18" s="507"/>
      <c r="R18" s="507"/>
      <c r="S18" s="507"/>
      <c r="T18" s="507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511"/>
      <c r="AI18" s="511"/>
      <c r="AJ18" s="511"/>
      <c r="AK18" s="511"/>
      <c r="AL18" s="511"/>
      <c r="AM18" s="511"/>
      <c r="AN18" s="511"/>
      <c r="AO18" s="511"/>
      <c r="AP18" s="511"/>
      <c r="AQ18" s="511"/>
      <c r="AR18" s="511"/>
      <c r="AS18" s="511"/>
      <c r="AT18" s="511"/>
      <c r="AU18" s="511"/>
    </row>
    <row r="19" spans="1:47" ht="12.9">
      <c r="A19" s="507"/>
      <c r="B19" s="512" t="s">
        <v>2917</v>
      </c>
      <c r="C19" s="507"/>
      <c r="D19" s="507"/>
      <c r="E19" s="507"/>
      <c r="F19" s="507"/>
      <c r="G19" s="507"/>
      <c r="H19" s="513"/>
      <c r="I19" s="507"/>
      <c r="J19" s="507"/>
      <c r="K19" s="507"/>
      <c r="L19" s="507"/>
      <c r="M19" s="507"/>
      <c r="N19" s="507"/>
      <c r="O19" s="507"/>
      <c r="P19" s="507"/>
      <c r="Q19" s="507"/>
      <c r="R19" s="507"/>
      <c r="S19" s="507"/>
      <c r="T19" s="507"/>
      <c r="U19" s="511"/>
      <c r="V19" s="511"/>
    </row>
    <row r="20" spans="1:47" ht="12.9">
      <c r="A20" s="507"/>
      <c r="B20" s="514" t="s">
        <v>2918</v>
      </c>
      <c r="C20" s="507"/>
      <c r="D20" s="507"/>
      <c r="E20" s="507"/>
      <c r="F20" s="507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7"/>
      <c r="R20" s="511"/>
      <c r="S20" s="511"/>
      <c r="T20" s="511"/>
      <c r="U20" s="511"/>
      <c r="V20" s="511"/>
    </row>
    <row r="21" spans="1:47" ht="12.9">
      <c r="A21" s="507"/>
      <c r="B21" s="515" t="s">
        <v>2919</v>
      </c>
      <c r="C21" s="516"/>
      <c r="D21" s="516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  <c r="T21" s="507"/>
    </row>
    <row r="22" spans="1:47" ht="12.9">
      <c r="A22" s="507"/>
      <c r="B22" s="510" t="s">
        <v>2920</v>
      </c>
      <c r="C22" s="516"/>
      <c r="D22" s="516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</row>
    <row r="23" spans="1:47" ht="12.9">
      <c r="A23" s="507"/>
      <c r="B23" s="510"/>
      <c r="C23" s="516"/>
      <c r="D23" s="516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7"/>
    </row>
    <row r="24" spans="1:47">
      <c r="A24" s="507"/>
      <c r="B24" s="517"/>
      <c r="C24" s="516"/>
      <c r="D24" s="516"/>
      <c r="E24" s="507"/>
      <c r="F24" s="507"/>
      <c r="G24" s="507"/>
      <c r="H24" s="507"/>
      <c r="I24" s="507"/>
      <c r="J24" s="518"/>
      <c r="K24" s="507"/>
      <c r="L24" s="507"/>
      <c r="M24" s="507"/>
      <c r="N24" s="507"/>
      <c r="O24" s="507"/>
      <c r="P24" s="507"/>
      <c r="Q24" s="507"/>
      <c r="R24" s="507"/>
      <c r="S24" s="507"/>
      <c r="T24" s="507"/>
    </row>
    <row r="25" spans="1:47">
      <c r="A25" s="507"/>
      <c r="B25" s="516" t="s">
        <v>2921</v>
      </c>
      <c r="C25" s="519" t="s">
        <v>2925</v>
      </c>
      <c r="D25" s="507"/>
      <c r="E25" s="507"/>
      <c r="F25" s="507"/>
      <c r="G25" s="507"/>
      <c r="H25" s="507"/>
      <c r="I25" s="507"/>
      <c r="J25" s="507"/>
      <c r="K25" s="507"/>
      <c r="L25" s="507"/>
      <c r="M25" s="518"/>
      <c r="N25" s="507"/>
      <c r="O25" s="507"/>
      <c r="P25" s="507"/>
      <c r="Q25" s="507"/>
      <c r="R25" s="507"/>
      <c r="S25" s="507"/>
      <c r="T25" s="507"/>
    </row>
    <row r="26" spans="1:47">
      <c r="A26" s="507"/>
      <c r="B26" s="516" t="s">
        <v>2922</v>
      </c>
      <c r="C26" s="519" t="s">
        <v>3268</v>
      </c>
      <c r="D26" s="507"/>
      <c r="E26" s="507"/>
      <c r="F26" s="507"/>
      <c r="G26" s="507"/>
      <c r="H26" s="507"/>
      <c r="I26" s="507"/>
      <c r="J26" s="507"/>
      <c r="K26" s="507"/>
      <c r="L26" s="507"/>
      <c r="M26" s="518"/>
      <c r="N26" s="507"/>
      <c r="O26" s="507"/>
      <c r="P26" s="507"/>
      <c r="Q26" s="507"/>
      <c r="R26" s="507"/>
      <c r="S26" s="507"/>
      <c r="T26" s="507"/>
    </row>
    <row r="27" spans="1:47">
      <c r="A27" s="507"/>
      <c r="B27" s="516" t="s">
        <v>2923</v>
      </c>
      <c r="C27" s="521" t="s">
        <v>3316</v>
      </c>
      <c r="D27" s="513"/>
      <c r="E27" s="513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7"/>
      <c r="T27" s="507"/>
    </row>
    <row r="28" spans="1:47">
      <c r="A28" s="507"/>
      <c r="B28" s="516"/>
      <c r="C28" s="520"/>
      <c r="D28" s="513"/>
      <c r="E28" s="513"/>
      <c r="F28" s="513"/>
      <c r="G28" s="513"/>
      <c r="H28" s="513"/>
      <c r="I28" s="513"/>
      <c r="J28" s="513"/>
      <c r="K28" s="513"/>
      <c r="L28" s="513"/>
      <c r="M28" s="513"/>
      <c r="N28" s="513"/>
      <c r="O28" s="513"/>
      <c r="P28" s="507"/>
      <c r="Q28" s="507"/>
      <c r="R28" s="507"/>
      <c r="S28" s="507"/>
      <c r="T28" s="507"/>
    </row>
    <row r="29" spans="1:47">
      <c r="A29" s="507"/>
      <c r="B29" s="516"/>
      <c r="C29" s="520"/>
      <c r="D29" s="513"/>
      <c r="E29" s="513"/>
      <c r="F29" s="513"/>
      <c r="G29" s="513"/>
      <c r="H29" s="513"/>
      <c r="I29" s="513"/>
      <c r="J29" s="513"/>
      <c r="K29" s="513"/>
      <c r="L29" s="513"/>
      <c r="M29" s="513"/>
      <c r="N29" s="513"/>
      <c r="O29" s="513"/>
      <c r="P29" s="507"/>
      <c r="Q29" s="507"/>
      <c r="R29" s="507"/>
      <c r="S29" s="507"/>
      <c r="T29" s="507"/>
    </row>
    <row r="30" spans="1:47">
      <c r="A30" s="507"/>
      <c r="B30" s="516"/>
      <c r="C30" s="520"/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507"/>
      <c r="P30" s="507"/>
      <c r="Q30" s="507"/>
      <c r="R30" s="507"/>
      <c r="S30" s="507"/>
      <c r="T30" s="507"/>
    </row>
    <row r="31" spans="1:47">
      <c r="A31" s="507"/>
      <c r="B31" s="507"/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507"/>
      <c r="P31" s="507"/>
      <c r="Q31" s="507"/>
      <c r="R31" s="507"/>
      <c r="S31" s="507"/>
      <c r="T31" s="507"/>
    </row>
    <row r="32" spans="1:47">
      <c r="A32" s="507"/>
      <c r="B32" s="507"/>
      <c r="C32" s="507"/>
      <c r="D32" s="507"/>
      <c r="E32" s="507"/>
      <c r="F32" s="507"/>
      <c r="G32" s="507"/>
      <c r="H32" s="507"/>
      <c r="I32" s="507"/>
      <c r="J32" s="507"/>
      <c r="K32" s="507"/>
      <c r="L32" s="507"/>
      <c r="M32" s="507"/>
      <c r="N32" s="507"/>
      <c r="O32" s="507"/>
      <c r="P32" s="507"/>
      <c r="Q32" s="507"/>
      <c r="R32" s="507"/>
      <c r="S32" s="507"/>
      <c r="T32" s="507"/>
    </row>
    <row r="33" spans="1:20">
      <c r="A33" s="507"/>
      <c r="B33" s="507"/>
      <c r="C33" s="507"/>
      <c r="D33" s="507"/>
      <c r="E33" s="507"/>
      <c r="F33" s="507"/>
      <c r="G33" s="507"/>
      <c r="H33" s="507"/>
      <c r="I33" s="507"/>
      <c r="J33" s="507"/>
      <c r="K33" s="507"/>
      <c r="L33" s="507"/>
      <c r="M33" s="507"/>
      <c r="N33" s="507"/>
      <c r="O33" s="507"/>
      <c r="P33" s="507"/>
      <c r="Q33" s="507"/>
      <c r="R33" s="507"/>
      <c r="S33" s="507"/>
      <c r="T33" s="507"/>
    </row>
    <row r="34" spans="1:20">
      <c r="A34" s="507"/>
      <c r="B34" s="507"/>
      <c r="C34" s="507"/>
      <c r="D34" s="507"/>
      <c r="E34" s="507"/>
      <c r="F34" s="507"/>
      <c r="G34" s="507"/>
      <c r="H34" s="507"/>
      <c r="I34" s="507"/>
      <c r="J34" s="507"/>
      <c r="K34" s="507"/>
      <c r="L34" s="507"/>
      <c r="M34" s="507"/>
      <c r="N34" s="507"/>
      <c r="O34" s="507"/>
      <c r="P34" s="507"/>
      <c r="Q34" s="507"/>
      <c r="R34" s="507"/>
      <c r="S34" s="507"/>
      <c r="T34" s="507"/>
    </row>
    <row r="35" spans="1:20">
      <c r="A35" s="507"/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507"/>
      <c r="P35" s="507"/>
      <c r="Q35" s="507"/>
      <c r="R35" s="507"/>
      <c r="S35" s="507"/>
      <c r="T35" s="507"/>
    </row>
    <row r="36" spans="1:20">
      <c r="A36" s="507"/>
      <c r="B36" s="507"/>
      <c r="C36" s="507"/>
      <c r="D36" s="507"/>
      <c r="E36" s="507"/>
      <c r="F36" s="507"/>
      <c r="G36" s="507"/>
      <c r="H36" s="507"/>
      <c r="I36" s="507"/>
      <c r="J36" s="507"/>
      <c r="K36" s="507"/>
      <c r="L36" s="507"/>
      <c r="M36" s="507"/>
      <c r="N36" s="507"/>
      <c r="O36" s="507"/>
      <c r="P36" s="507"/>
      <c r="Q36" s="507"/>
      <c r="R36" s="507"/>
      <c r="S36" s="507"/>
      <c r="T36" s="507"/>
    </row>
    <row r="37" spans="1:20">
      <c r="A37" s="507"/>
      <c r="B37" s="507"/>
      <c r="C37" s="507"/>
      <c r="D37" s="507"/>
      <c r="E37" s="507"/>
      <c r="F37" s="507"/>
      <c r="G37" s="507"/>
      <c r="H37" s="507"/>
      <c r="I37" s="507"/>
      <c r="J37" s="507"/>
      <c r="K37" s="507"/>
      <c r="L37" s="507"/>
      <c r="M37" s="507"/>
      <c r="N37" s="507"/>
      <c r="O37" s="507"/>
      <c r="P37" s="507"/>
      <c r="Q37" s="507"/>
      <c r="R37" s="507"/>
      <c r="S37" s="507"/>
      <c r="T37" s="507"/>
    </row>
    <row r="38" spans="1:20">
      <c r="A38" s="507"/>
      <c r="B38" s="507"/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7"/>
      <c r="T38" s="507"/>
    </row>
    <row r="39" spans="1:20" ht="12" thickBot="1">
      <c r="A39" s="505"/>
      <c r="B39" s="505"/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5"/>
      <c r="T39" s="50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243"/>
  <sheetViews>
    <sheetView zoomScale="70" zoomScaleNormal="70" workbookViewId="0">
      <selection activeCell="AC1" sqref="AC1"/>
    </sheetView>
  </sheetViews>
  <sheetFormatPr defaultColWidth="9.15625" defaultRowHeight="12.9" outlineLevelCol="1"/>
  <cols>
    <col min="1" max="1" width="4.15625" style="66" customWidth="1"/>
    <col min="2" max="2" width="23.41796875" style="66" customWidth="1"/>
    <col min="3" max="13" width="9.15625" style="66" hidden="1" customWidth="1" outlineLevel="1"/>
    <col min="14" max="14" width="12.41796875" style="66" customWidth="1" collapsed="1"/>
    <col min="15" max="28" width="10.83984375" style="66" customWidth="1"/>
    <col min="29" max="16384" width="9.15625" style="66"/>
  </cols>
  <sheetData>
    <row r="1" spans="2:28">
      <c r="J1" s="66" t="s">
        <v>38</v>
      </c>
      <c r="K1" s="66" t="s">
        <v>38</v>
      </c>
    </row>
    <row r="2" spans="2:28">
      <c r="B2" s="279" t="s">
        <v>781</v>
      </c>
      <c r="C2" s="279">
        <v>2001</v>
      </c>
      <c r="D2" s="279">
        <f t="shared" ref="D2:AB2" si="0">C2+1</f>
        <v>2002</v>
      </c>
      <c r="E2" s="279">
        <f t="shared" si="0"/>
        <v>2003</v>
      </c>
      <c r="F2" s="279">
        <f t="shared" si="0"/>
        <v>2004</v>
      </c>
      <c r="G2" s="279">
        <f t="shared" si="0"/>
        <v>2005</v>
      </c>
      <c r="H2" s="279">
        <f t="shared" si="0"/>
        <v>2006</v>
      </c>
      <c r="I2" s="279">
        <f t="shared" si="0"/>
        <v>2007</v>
      </c>
      <c r="J2" s="279">
        <f t="shared" si="0"/>
        <v>2008</v>
      </c>
      <c r="K2" s="279">
        <f t="shared" si="0"/>
        <v>2009</v>
      </c>
      <c r="L2" s="279">
        <f t="shared" si="0"/>
        <v>2010</v>
      </c>
      <c r="M2" s="279">
        <f t="shared" si="0"/>
        <v>2011</v>
      </c>
      <c r="N2" s="279">
        <f t="shared" si="0"/>
        <v>2012</v>
      </c>
      <c r="O2" s="279">
        <f t="shared" si="0"/>
        <v>2013</v>
      </c>
      <c r="P2" s="279">
        <f t="shared" si="0"/>
        <v>2014</v>
      </c>
      <c r="Q2" s="279">
        <f t="shared" si="0"/>
        <v>2015</v>
      </c>
      <c r="R2" s="279">
        <f t="shared" si="0"/>
        <v>2016</v>
      </c>
      <c r="S2" s="279">
        <f t="shared" si="0"/>
        <v>2017</v>
      </c>
      <c r="T2" s="279">
        <f t="shared" si="0"/>
        <v>2018</v>
      </c>
      <c r="U2" s="279">
        <f t="shared" si="0"/>
        <v>2019</v>
      </c>
      <c r="V2" s="279">
        <f t="shared" si="0"/>
        <v>2020</v>
      </c>
      <c r="W2" s="279">
        <f t="shared" si="0"/>
        <v>2021</v>
      </c>
      <c r="X2" s="279">
        <f t="shared" si="0"/>
        <v>2022</v>
      </c>
      <c r="Y2" s="279">
        <f t="shared" si="0"/>
        <v>2023</v>
      </c>
      <c r="Z2" s="279">
        <f t="shared" si="0"/>
        <v>2024</v>
      </c>
      <c r="AA2" s="279">
        <f t="shared" si="0"/>
        <v>2025</v>
      </c>
      <c r="AB2" s="279">
        <f t="shared" si="0"/>
        <v>2026</v>
      </c>
    </row>
    <row r="3" spans="2:28"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83"/>
      <c r="T3" s="277"/>
      <c r="U3" s="277"/>
      <c r="V3" s="277"/>
      <c r="W3" s="277"/>
      <c r="X3" s="277"/>
      <c r="Y3" s="277"/>
      <c r="Z3" s="277"/>
      <c r="AA3" s="277"/>
      <c r="AB3" s="277"/>
    </row>
    <row r="4" spans="2:28">
      <c r="B4" s="66" t="s">
        <v>444</v>
      </c>
      <c r="D4" s="294"/>
      <c r="E4" s="294">
        <f>93*E$131</f>
        <v>323.64</v>
      </c>
      <c r="F4" s="294">
        <f>96*F$131</f>
        <v>327.36</v>
      </c>
      <c r="G4" s="294">
        <f>114*G$131</f>
        <v>376.2</v>
      </c>
      <c r="H4" s="294">
        <f>146*H$131</f>
        <v>477.42</v>
      </c>
      <c r="I4" s="294">
        <f>191*I$131</f>
        <v>595.92000000000007</v>
      </c>
      <c r="J4" s="294">
        <f>243*J$131</f>
        <v>709.56</v>
      </c>
      <c r="K4" s="294">
        <f>268*K$131</f>
        <v>806.68</v>
      </c>
      <c r="L4" s="294">
        <f>312*L$131</f>
        <v>881.34491494318183</v>
      </c>
      <c r="M4" s="294">
        <f>354.1*M$131</f>
        <v>973.77500000000009</v>
      </c>
      <c r="N4" s="294">
        <f>343.3*N$131</f>
        <v>906.31200000000013</v>
      </c>
      <c r="O4" s="71">
        <f t="shared" ref="O4:T4" si="1">O149</f>
        <v>802.52059807173998</v>
      </c>
      <c r="P4" s="71">
        <f t="shared" si="1"/>
        <v>757.51404553415057</v>
      </c>
      <c r="Q4" s="71">
        <f>Q149</f>
        <v>1153.0029223744293</v>
      </c>
      <c r="R4" s="71">
        <f t="shared" si="1"/>
        <v>1736.3177218934911</v>
      </c>
      <c r="S4" s="71">
        <f t="shared" si="1"/>
        <v>2311.5559938366719</v>
      </c>
      <c r="T4" s="71">
        <f t="shared" si="1"/>
        <v>2423.6179595015574</v>
      </c>
      <c r="U4" s="71">
        <f t="shared" ref="U4:AA4" ca="1" si="2">U149</f>
        <v>2706.3682007596153</v>
      </c>
      <c r="V4" s="71">
        <f t="shared" ca="1" si="2"/>
        <v>2960.404803190404</v>
      </c>
      <c r="W4" s="71">
        <f t="shared" ca="1" si="2"/>
        <v>3106.5414944554805</v>
      </c>
      <c r="X4" s="71">
        <f t="shared" ca="1" si="2"/>
        <v>3208.846634296141</v>
      </c>
      <c r="Y4" s="71">
        <f t="shared" ca="1" si="2"/>
        <v>3333.6263618806515</v>
      </c>
      <c r="Z4" s="71">
        <f t="shared" ca="1" si="2"/>
        <v>3460.0141340440878</v>
      </c>
      <c r="AA4" s="71">
        <f t="shared" ca="1" si="2"/>
        <v>3588.7635494867404</v>
      </c>
      <c r="AB4" s="71">
        <f t="shared" ref="AB4" ca="1" si="3">AB149</f>
        <v>3720.5000784514627</v>
      </c>
    </row>
    <row r="5" spans="2:28">
      <c r="B5" s="66" t="s">
        <v>63</v>
      </c>
      <c r="D5" s="68"/>
      <c r="E5" s="68"/>
      <c r="F5" s="68">
        <f t="shared" ref="F5:AB5" si="4">F4/E4-1</f>
        <v>1.1494252873563315E-2</v>
      </c>
      <c r="G5" s="68">
        <f t="shared" si="4"/>
        <v>0.14919354838709675</v>
      </c>
      <c r="H5" s="68">
        <f t="shared" si="4"/>
        <v>0.26905901116427433</v>
      </c>
      <c r="I5" s="68">
        <f t="shared" si="4"/>
        <v>0.24820912404172435</v>
      </c>
      <c r="J5" s="68">
        <f t="shared" si="4"/>
        <v>0.19069673781715646</v>
      </c>
      <c r="K5" s="68">
        <f t="shared" si="4"/>
        <v>0.13687355544280955</v>
      </c>
      <c r="L5" s="68">
        <f t="shared" si="4"/>
        <v>9.2558282024076233E-2</v>
      </c>
      <c r="M5" s="68">
        <f t="shared" si="4"/>
        <v>0.10487390746763081</v>
      </c>
      <c r="N5" s="68">
        <f t="shared" si="4"/>
        <v>-6.9279864445071948E-2</v>
      </c>
      <c r="O5" s="68">
        <f t="shared" si="4"/>
        <v>-0.11452060871781478</v>
      </c>
      <c r="P5" s="68">
        <f t="shared" si="4"/>
        <v>-5.6081492046097137E-2</v>
      </c>
      <c r="Q5" s="68">
        <f t="shared" si="4"/>
        <v>0.52208784665029584</v>
      </c>
      <c r="R5" s="68">
        <f t="shared" si="4"/>
        <v>0.505909211676425</v>
      </c>
      <c r="S5" s="68">
        <f t="shared" si="4"/>
        <v>0.33129781761132482</v>
      </c>
      <c r="T5" s="68">
        <f t="shared" si="4"/>
        <v>4.847901844630953E-2</v>
      </c>
      <c r="U5" s="68">
        <f t="shared" ca="1" si="4"/>
        <v>0.11666452633327107</v>
      </c>
      <c r="V5" s="68">
        <f t="shared" ca="1" si="4"/>
        <v>9.3866238289190163E-2</v>
      </c>
      <c r="W5" s="68">
        <f t="shared" ca="1" si="4"/>
        <v>4.9363752925811522E-2</v>
      </c>
      <c r="X5" s="68">
        <f t="shared" ca="1" si="4"/>
        <v>3.2932165890348974E-2</v>
      </c>
      <c r="Y5" s="68">
        <f t="shared" ca="1" si="4"/>
        <v>3.8886161230289096E-2</v>
      </c>
      <c r="Z5" s="68">
        <f t="shared" ca="1" si="4"/>
        <v>3.7912998771744588E-2</v>
      </c>
      <c r="AA5" s="68">
        <f t="shared" ca="1" si="4"/>
        <v>3.7210661706797543E-2</v>
      </c>
      <c r="AB5" s="68">
        <f t="shared" ca="1" si="4"/>
        <v>3.6708054779357902E-2</v>
      </c>
    </row>
    <row r="6" spans="2:28"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</row>
    <row r="7" spans="2:28">
      <c r="B7" s="66" t="s">
        <v>4</v>
      </c>
      <c r="D7" s="294"/>
      <c r="E7" s="294">
        <f>(18+3)*E$131</f>
        <v>73.08</v>
      </c>
      <c r="F7" s="294">
        <f>(14+6)*F$131</f>
        <v>68.2</v>
      </c>
      <c r="G7" s="299">
        <f>(17.7+8.7)*G$131</f>
        <v>87.11999999999999</v>
      </c>
      <c r="H7" s="299">
        <f>(13.2+12.9)*H$131</f>
        <v>85.347000000000008</v>
      </c>
      <c r="I7" s="299">
        <f>(15.9+19.9)*I$131</f>
        <v>111.696</v>
      </c>
      <c r="J7" s="299">
        <f>(21+21.6)*J$131</f>
        <v>124.392</v>
      </c>
      <c r="K7" s="299">
        <f>(-39+32+21+3)*K$131</f>
        <v>51.169999999999995</v>
      </c>
      <c r="L7" s="299">
        <f>(-53+52.7+22.4)*L$131</f>
        <v>62.428598141808713</v>
      </c>
      <c r="M7" s="299">
        <f>(-59.6+64.9+30)*M$131</f>
        <v>97.075000000000017</v>
      </c>
      <c r="N7" s="299">
        <f>(-115.4+79.2+21.6)*N$131</f>
        <v>-38.544000000000004</v>
      </c>
      <c r="O7" s="71">
        <f t="shared" ref="O7:T7" si="5">O177</f>
        <v>-86.008295397542838</v>
      </c>
      <c r="P7" s="71">
        <f t="shared" si="5"/>
        <v>-544.72294220665492</v>
      </c>
      <c r="Q7" s="71">
        <f>Q177</f>
        <v>-820.84963470319633</v>
      </c>
      <c r="R7" s="71">
        <f t="shared" si="5"/>
        <v>-605.64782544378693</v>
      </c>
      <c r="S7" s="71">
        <f t="shared" si="5"/>
        <v>-381.74650231124809</v>
      </c>
      <c r="T7" s="71">
        <f t="shared" si="5"/>
        <v>-272.48579439252336</v>
      </c>
      <c r="U7" s="71">
        <f t="shared" ref="U7:AA7" ca="1" si="6">U177</f>
        <v>0.95628803976637755</v>
      </c>
      <c r="V7" s="71">
        <f t="shared" ca="1" si="6"/>
        <v>187.25446889847444</v>
      </c>
      <c r="W7" s="71">
        <f t="shared" ca="1" si="6"/>
        <v>382.98256484574085</v>
      </c>
      <c r="X7" s="71">
        <f t="shared" ca="1" si="6"/>
        <v>533.49645435089155</v>
      </c>
      <c r="Y7" s="71">
        <f t="shared" ca="1" si="6"/>
        <v>705.1520868900202</v>
      </c>
      <c r="Z7" s="71">
        <f t="shared" ca="1" si="6"/>
        <v>857.16597537982261</v>
      </c>
      <c r="AA7" s="71">
        <f t="shared" ca="1" si="6"/>
        <v>1010.5021329913452</v>
      </c>
      <c r="AB7" s="71">
        <f t="shared" ref="AB7" ca="1" si="7">AB177</f>
        <v>1165.8282004431353</v>
      </c>
    </row>
    <row r="8" spans="2:28">
      <c r="B8" s="66" t="s">
        <v>63</v>
      </c>
      <c r="D8" s="68"/>
      <c r="E8" s="68" t="e">
        <f t="shared" ref="E8:AB8" si="8">E7/D7-1</f>
        <v>#DIV/0!</v>
      </c>
      <c r="F8" s="68">
        <f t="shared" si="8"/>
        <v>-6.6776135741652975E-2</v>
      </c>
      <c r="G8" s="68">
        <f t="shared" si="8"/>
        <v>0.27741935483870939</v>
      </c>
      <c r="H8" s="68">
        <f t="shared" si="8"/>
        <v>-2.0351239669421317E-2</v>
      </c>
      <c r="I8" s="68">
        <f t="shared" si="8"/>
        <v>0.30872789904741804</v>
      </c>
      <c r="J8" s="68">
        <f t="shared" si="8"/>
        <v>0.11366566394499356</v>
      </c>
      <c r="K8" s="68">
        <f t="shared" si="8"/>
        <v>-0.58863914078075763</v>
      </c>
      <c r="L8" s="68">
        <f t="shared" si="8"/>
        <v>0.22002341492688537</v>
      </c>
      <c r="M8" s="68">
        <f t="shared" si="8"/>
        <v>0.55497645132909779</v>
      </c>
      <c r="N8" s="68">
        <f t="shared" si="8"/>
        <v>-1.3970538243626063</v>
      </c>
      <c r="O8" s="68">
        <f t="shared" si="8"/>
        <v>1.2314314912189404</v>
      </c>
      <c r="P8" s="68">
        <f t="shared" si="8"/>
        <v>5.3333767945157655</v>
      </c>
      <c r="Q8" s="68">
        <f t="shared" si="8"/>
        <v>0.50691217700132318</v>
      </c>
      <c r="R8" s="68">
        <f t="shared" si="8"/>
        <v>-0.26216958643981403</v>
      </c>
      <c r="S8" s="68">
        <f t="shared" si="8"/>
        <v>-0.3696889738991066</v>
      </c>
      <c r="T8" s="68">
        <f t="shared" si="8"/>
        <v>-0.28621272822990151</v>
      </c>
      <c r="U8" s="68">
        <f t="shared" ca="1" si="8"/>
        <v>-1.003509496859821</v>
      </c>
      <c r="V8" s="68">
        <f t="shared" ca="1" si="8"/>
        <v>194.81387731694412</v>
      </c>
      <c r="W8" s="68">
        <f t="shared" ca="1" si="8"/>
        <v>1.0452519349665623</v>
      </c>
      <c r="X8" s="68">
        <f t="shared" ca="1" si="8"/>
        <v>0.39300454725863365</v>
      </c>
      <c r="Y8" s="68">
        <f t="shared" ca="1" si="8"/>
        <v>0.3217559013545519</v>
      </c>
      <c r="Z8" s="68">
        <f t="shared" ca="1" si="8"/>
        <v>0.21557603149164528</v>
      </c>
      <c r="AA8" s="68">
        <f t="shared" ca="1" si="8"/>
        <v>0.17888735905969333</v>
      </c>
      <c r="AB8" s="68">
        <f t="shared" ca="1" si="8"/>
        <v>0.15371176604247738</v>
      </c>
    </row>
    <row r="9" spans="2:28">
      <c r="B9" s="66" t="s">
        <v>374</v>
      </c>
      <c r="D9" s="68" t="e">
        <f t="shared" ref="D9:T9" si="9">D7/D4</f>
        <v>#DIV/0!</v>
      </c>
      <c r="E9" s="68">
        <f t="shared" si="9"/>
        <v>0.22580645161290322</v>
      </c>
      <c r="F9" s="68">
        <f t="shared" si="9"/>
        <v>0.20833333333333334</v>
      </c>
      <c r="G9" s="68">
        <f t="shared" si="9"/>
        <v>0.23157894736842102</v>
      </c>
      <c r="H9" s="68">
        <f t="shared" si="9"/>
        <v>0.17876712328767125</v>
      </c>
      <c r="I9" s="68">
        <f t="shared" si="9"/>
        <v>0.18743455497382197</v>
      </c>
      <c r="J9" s="68">
        <f t="shared" si="9"/>
        <v>0.17530864197530865</v>
      </c>
      <c r="K9" s="68">
        <f t="shared" si="9"/>
        <v>6.3432835820895525E-2</v>
      </c>
      <c r="L9" s="68">
        <f t="shared" si="9"/>
        <v>7.0833333333333331E-2</v>
      </c>
      <c r="M9" s="68">
        <f t="shared" si="9"/>
        <v>9.9689353290031077E-2</v>
      </c>
      <c r="N9" s="68">
        <f t="shared" si="9"/>
        <v>-4.2528400815613168E-2</v>
      </c>
      <c r="O9" s="68">
        <f t="shared" si="9"/>
        <v>-0.10717269513604967</v>
      </c>
      <c r="P9" s="68">
        <f t="shared" si="9"/>
        <v>-0.71909286094167546</v>
      </c>
      <c r="Q9" s="68">
        <f t="shared" si="9"/>
        <v>-0.71192329071706495</v>
      </c>
      <c r="R9" s="68">
        <f t="shared" si="9"/>
        <v>-0.34881163614647392</v>
      </c>
      <c r="S9" s="68">
        <f t="shared" si="9"/>
        <v>-0.16514698468438713</v>
      </c>
      <c r="T9" s="68">
        <f t="shared" si="9"/>
        <v>-0.11242935105521455</v>
      </c>
      <c r="U9" s="68">
        <f t="shared" ref="U9:AA9" ca="1" si="10">U7/U4</f>
        <v>3.5334735292040807E-4</v>
      </c>
      <c r="V9" s="68">
        <f t="shared" ca="1" si="10"/>
        <v>6.3252994555566128E-2</v>
      </c>
      <c r="W9" s="68">
        <f t="shared" ca="1" si="10"/>
        <v>0.1232826168680778</v>
      </c>
      <c r="X9" s="68">
        <f t="shared" ca="1" si="10"/>
        <v>0.16625800954426534</v>
      </c>
      <c r="Y9" s="68">
        <f t="shared" ca="1" si="10"/>
        <v>0.21152703102941975</v>
      </c>
      <c r="Z9" s="68">
        <f t="shared" ca="1" si="10"/>
        <v>0.24773481904189831</v>
      </c>
      <c r="AA9" s="68">
        <f t="shared" ca="1" si="10"/>
        <v>0.28157389559305618</v>
      </c>
      <c r="AB9" s="68">
        <f t="shared" ref="AB9" ca="1" si="11">AB7/AB4</f>
        <v>0.31335255365143638</v>
      </c>
    </row>
    <row r="10" spans="2:28"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</row>
    <row r="11" spans="2:28">
      <c r="B11" s="66" t="s">
        <v>137</v>
      </c>
      <c r="D11" s="294"/>
      <c r="E11" s="294">
        <f>16*E$131</f>
        <v>55.68</v>
      </c>
      <c r="F11" s="294">
        <f>20*F$131</f>
        <v>68.2</v>
      </c>
      <c r="G11" s="294">
        <f>25*G$131</f>
        <v>82.5</v>
      </c>
      <c r="H11" s="294">
        <f>37.6*H$131</f>
        <v>122.95200000000001</v>
      </c>
      <c r="I11" s="294">
        <f>43.7*I$131</f>
        <v>136.34400000000002</v>
      </c>
      <c r="J11" s="294">
        <f>63.4*J$131</f>
        <v>185.12799999999999</v>
      </c>
      <c r="K11" s="294">
        <f>148.5*K$131</f>
        <v>446.98499999999996</v>
      </c>
      <c r="L11" s="294">
        <f>94*L$131</f>
        <v>265.53340386108681</v>
      </c>
      <c r="M11" s="294">
        <f>105.5*M$131</f>
        <v>290.125</v>
      </c>
      <c r="N11" s="294">
        <f>77.7*N$131</f>
        <v>205.12800000000001</v>
      </c>
      <c r="O11" s="71">
        <f t="shared" ref="O11:T11" si="12">O184</f>
        <v>451.28160000000008</v>
      </c>
      <c r="P11" s="71">
        <f t="shared" si="12"/>
        <v>795.19999999999993</v>
      </c>
      <c r="Q11" s="71">
        <f t="shared" si="12"/>
        <v>765.6</v>
      </c>
      <c r="R11" s="71">
        <f t="shared" si="12"/>
        <v>522.35</v>
      </c>
      <c r="S11" s="71">
        <f t="shared" si="12"/>
        <v>521.59999999999991</v>
      </c>
      <c r="T11" s="71">
        <f t="shared" si="12"/>
        <v>532.03199999999993</v>
      </c>
      <c r="U11" s="71">
        <f t="shared" ref="U11:AA11" si="13">U184</f>
        <v>532.03199999999993</v>
      </c>
      <c r="V11" s="71">
        <f t="shared" si="13"/>
        <v>532.03199999999993</v>
      </c>
      <c r="W11" s="71">
        <f t="shared" si="13"/>
        <v>505.43039999999991</v>
      </c>
      <c r="X11" s="71">
        <f t="shared" si="13"/>
        <v>495.3217919999999</v>
      </c>
      <c r="Y11" s="71">
        <f t="shared" si="13"/>
        <v>485.41535615999987</v>
      </c>
      <c r="Z11" s="71">
        <f t="shared" si="13"/>
        <v>475.70704903679984</v>
      </c>
      <c r="AA11" s="71">
        <f t="shared" si="13"/>
        <v>466.19290805606386</v>
      </c>
      <c r="AB11" s="71">
        <f t="shared" ref="AB11" si="14">AB184</f>
        <v>456.86904989494258</v>
      </c>
    </row>
    <row r="12" spans="2:28">
      <c r="B12" s="66" t="s">
        <v>63</v>
      </c>
      <c r="D12" s="68"/>
      <c r="E12" s="68" t="e">
        <f t="shared" ref="E12:AB12" si="15">E11/D11-1</f>
        <v>#DIV/0!</v>
      </c>
      <c r="F12" s="68">
        <f t="shared" si="15"/>
        <v>0.22485632183908044</v>
      </c>
      <c r="G12" s="68">
        <f t="shared" si="15"/>
        <v>0.20967741935483875</v>
      </c>
      <c r="H12" s="68">
        <f t="shared" si="15"/>
        <v>0.49032727272727294</v>
      </c>
      <c r="I12" s="68">
        <f t="shared" si="15"/>
        <v>0.10892055436267811</v>
      </c>
      <c r="J12" s="68">
        <f t="shared" si="15"/>
        <v>0.35780085665669148</v>
      </c>
      <c r="K12" s="68">
        <f t="shared" si="15"/>
        <v>1.4144645866643617</v>
      </c>
      <c r="L12" s="68">
        <f t="shared" si="15"/>
        <v>-0.40594560474940578</v>
      </c>
      <c r="M12" s="68">
        <f t="shared" si="15"/>
        <v>9.2612062291711705E-2</v>
      </c>
      <c r="N12" s="68">
        <f t="shared" si="15"/>
        <v>-0.29296682464454971</v>
      </c>
      <c r="O12" s="68">
        <f t="shared" si="15"/>
        <v>1.2000000000000002</v>
      </c>
      <c r="P12" s="68">
        <f t="shared" si="15"/>
        <v>0.76209267118357982</v>
      </c>
      <c r="Q12" s="68">
        <f t="shared" si="15"/>
        <v>-3.7223340040241304E-2</v>
      </c>
      <c r="R12" s="68">
        <f t="shared" si="15"/>
        <v>-0.31772466039707414</v>
      </c>
      <c r="S12" s="68">
        <f t="shared" si="15"/>
        <v>-1.4358188953769169E-3</v>
      </c>
      <c r="T12" s="68">
        <f t="shared" si="15"/>
        <v>2.0000000000000018E-2</v>
      </c>
      <c r="U12" s="68">
        <f t="shared" si="15"/>
        <v>0</v>
      </c>
      <c r="V12" s="68">
        <f t="shared" si="15"/>
        <v>0</v>
      </c>
      <c r="W12" s="68">
        <f t="shared" si="15"/>
        <v>-5.0000000000000044E-2</v>
      </c>
      <c r="X12" s="68">
        <f t="shared" si="15"/>
        <v>-2.0000000000000018E-2</v>
      </c>
      <c r="Y12" s="68">
        <f t="shared" si="15"/>
        <v>-2.0000000000000018E-2</v>
      </c>
      <c r="Z12" s="68">
        <f t="shared" si="15"/>
        <v>-2.0000000000000018E-2</v>
      </c>
      <c r="AA12" s="68">
        <f t="shared" si="15"/>
        <v>-2.0000000000000018E-2</v>
      </c>
      <c r="AB12" s="68">
        <f t="shared" si="15"/>
        <v>-2.0000000000000018E-2</v>
      </c>
    </row>
    <row r="13" spans="2:28">
      <c r="B13" s="66" t="s">
        <v>780</v>
      </c>
      <c r="D13" s="68" t="e">
        <f t="shared" ref="D13:T13" si="16">D11/D4</f>
        <v>#DIV/0!</v>
      </c>
      <c r="E13" s="68">
        <f t="shared" si="16"/>
        <v>0.17204301075268819</v>
      </c>
      <c r="F13" s="68">
        <f t="shared" si="16"/>
        <v>0.20833333333333334</v>
      </c>
      <c r="G13" s="68">
        <f t="shared" si="16"/>
        <v>0.2192982456140351</v>
      </c>
      <c r="H13" s="68">
        <f t="shared" si="16"/>
        <v>0.25753424657534246</v>
      </c>
      <c r="I13" s="68">
        <f t="shared" si="16"/>
        <v>0.22879581151832462</v>
      </c>
      <c r="J13" s="68">
        <f t="shared" si="16"/>
        <v>0.26090534979423868</v>
      </c>
      <c r="K13" s="68">
        <f t="shared" si="16"/>
        <v>0.55410447761194026</v>
      </c>
      <c r="L13" s="68">
        <f t="shared" si="16"/>
        <v>0.30128205128205127</v>
      </c>
      <c r="M13" s="68">
        <f t="shared" si="16"/>
        <v>0.29793843547020615</v>
      </c>
      <c r="N13" s="68">
        <f t="shared" si="16"/>
        <v>0.22633265365569472</v>
      </c>
      <c r="O13" s="68">
        <f t="shared" si="16"/>
        <v>0.56233023935375492</v>
      </c>
      <c r="P13" s="68">
        <f t="shared" si="16"/>
        <v>1.0497495124849805</v>
      </c>
      <c r="Q13" s="68">
        <f t="shared" si="16"/>
        <v>0.66400525544494415</v>
      </c>
      <c r="R13" s="68">
        <f t="shared" si="16"/>
        <v>0.3008377979523047</v>
      </c>
      <c r="S13" s="68">
        <f t="shared" si="16"/>
        <v>0.22564887088642799</v>
      </c>
      <c r="T13" s="68">
        <f t="shared" si="16"/>
        <v>0.21951974646590666</v>
      </c>
      <c r="U13" s="68">
        <f t="shared" ref="U13:AA13" ca="1" si="17">U11/U4</f>
        <v>0.19658522437954701</v>
      </c>
      <c r="V13" s="68">
        <f t="shared" ca="1" si="17"/>
        <v>0.1797159629746018</v>
      </c>
      <c r="W13" s="68">
        <f t="shared" ca="1" si="17"/>
        <v>0.16269874421509781</v>
      </c>
      <c r="X13" s="68">
        <f t="shared" ca="1" si="17"/>
        <v>0.15436131683764578</v>
      </c>
      <c r="Y13" s="68">
        <f t="shared" ca="1" si="17"/>
        <v>0.14561180632317619</v>
      </c>
      <c r="Z13" s="68">
        <f t="shared" ca="1" si="17"/>
        <v>0.13748702479454622</v>
      </c>
      <c r="AA13" s="68">
        <f t="shared" ca="1" si="17"/>
        <v>0.12990348949646963</v>
      </c>
      <c r="AB13" s="68">
        <f t="shared" ref="AB13" ca="1" si="18">AB11/AB4</f>
        <v>0.1227977530604164</v>
      </c>
    </row>
    <row r="15" spans="2:28">
      <c r="B15" s="66" t="s">
        <v>177</v>
      </c>
      <c r="C15" s="71"/>
      <c r="D15" s="71">
        <f t="shared" ref="D15:T15" si="19">D7-D11</f>
        <v>0</v>
      </c>
      <c r="E15" s="71">
        <f t="shared" si="19"/>
        <v>17.399999999999999</v>
      </c>
      <c r="F15" s="71">
        <f t="shared" si="19"/>
        <v>0</v>
      </c>
      <c r="G15" s="71">
        <f t="shared" si="19"/>
        <v>4.6199999999999903</v>
      </c>
      <c r="H15" s="71">
        <f t="shared" si="19"/>
        <v>-37.605000000000004</v>
      </c>
      <c r="I15" s="71">
        <f t="shared" si="19"/>
        <v>-24.648000000000025</v>
      </c>
      <c r="J15" s="71">
        <f t="shared" si="19"/>
        <v>-60.73599999999999</v>
      </c>
      <c r="K15" s="71">
        <f t="shared" si="19"/>
        <v>-395.81499999999994</v>
      </c>
      <c r="L15" s="71">
        <f t="shared" si="19"/>
        <v>-203.10480571927809</v>
      </c>
      <c r="M15" s="71">
        <f t="shared" si="19"/>
        <v>-193.04999999999998</v>
      </c>
      <c r="N15" s="71">
        <f t="shared" si="19"/>
        <v>-243.67200000000003</v>
      </c>
      <c r="O15" s="71">
        <f t="shared" si="19"/>
        <v>-537.28989539754298</v>
      </c>
      <c r="P15" s="71">
        <f t="shared" si="19"/>
        <v>-1339.9229422066549</v>
      </c>
      <c r="Q15" s="71">
        <f t="shared" si="19"/>
        <v>-1586.4496347031964</v>
      </c>
      <c r="R15" s="71">
        <f t="shared" si="19"/>
        <v>-1127.997825443787</v>
      </c>
      <c r="S15" s="71">
        <f t="shared" si="19"/>
        <v>-903.34650231124806</v>
      </c>
      <c r="T15" s="71">
        <f t="shared" si="19"/>
        <v>-804.51779439252323</v>
      </c>
      <c r="U15" s="71">
        <f t="shared" ref="U15:AA15" ca="1" si="20">U7-U11</f>
        <v>-531.07571196023355</v>
      </c>
      <c r="V15" s="71">
        <f t="shared" ca="1" si="20"/>
        <v>-344.77753110152548</v>
      </c>
      <c r="W15" s="71">
        <f t="shared" ca="1" si="20"/>
        <v>-122.44783515425905</v>
      </c>
      <c r="X15" s="71">
        <f t="shared" ca="1" si="20"/>
        <v>38.174662350891651</v>
      </c>
      <c r="Y15" s="71">
        <f t="shared" ca="1" si="20"/>
        <v>219.73673073002033</v>
      </c>
      <c r="Z15" s="71">
        <f t="shared" ca="1" si="20"/>
        <v>381.45892634302277</v>
      </c>
      <c r="AA15" s="71">
        <f t="shared" ca="1" si="20"/>
        <v>544.30922493528135</v>
      </c>
      <c r="AB15" s="71">
        <f t="shared" ref="AB15" ca="1" si="21">AB7-AB11</f>
        <v>708.95915054819272</v>
      </c>
    </row>
    <row r="16" spans="2:28">
      <c r="B16" s="66" t="s">
        <v>63</v>
      </c>
      <c r="C16" s="68"/>
      <c r="D16" s="68"/>
      <c r="E16" s="68" t="e">
        <f t="shared" ref="E16:AB16" si="22">E15/D15-1</f>
        <v>#DIV/0!</v>
      </c>
      <c r="F16" s="68">
        <f t="shared" si="22"/>
        <v>-1</v>
      </c>
      <c r="G16" s="68" t="e">
        <f t="shared" si="22"/>
        <v>#DIV/0!</v>
      </c>
      <c r="H16" s="68">
        <f t="shared" si="22"/>
        <v>-9.1396103896104073</v>
      </c>
      <c r="I16" s="68">
        <f t="shared" si="22"/>
        <v>-0.34455524531312265</v>
      </c>
      <c r="J16" s="68">
        <f t="shared" si="22"/>
        <v>1.4641350210970434</v>
      </c>
      <c r="K16" s="68">
        <f t="shared" si="22"/>
        <v>5.5169751053740779</v>
      </c>
      <c r="L16" s="68">
        <f t="shared" si="22"/>
        <v>-0.48686935634253847</v>
      </c>
      <c r="M16" s="68">
        <f t="shared" si="22"/>
        <v>-4.9505503740642109E-2</v>
      </c>
      <c r="N16" s="68">
        <f t="shared" si="22"/>
        <v>0.26222222222222236</v>
      </c>
      <c r="O16" s="68">
        <f t="shared" si="22"/>
        <v>1.2049718285135054</v>
      </c>
      <c r="P16" s="68">
        <f t="shared" si="22"/>
        <v>1.4938547210444755</v>
      </c>
      <c r="Q16" s="68">
        <f t="shared" si="22"/>
        <v>0.18398572390330781</v>
      </c>
      <c r="R16" s="68">
        <f t="shared" si="22"/>
        <v>-0.28897974397099579</v>
      </c>
      <c r="S16" s="68">
        <f t="shared" si="22"/>
        <v>-0.19915935834730403</v>
      </c>
      <c r="T16" s="68">
        <f t="shared" si="22"/>
        <v>-0.10940287881324351</v>
      </c>
      <c r="U16" s="68">
        <f t="shared" ca="1" si="22"/>
        <v>-0.33988320002140016</v>
      </c>
      <c r="V16" s="68">
        <f t="shared" ca="1" si="22"/>
        <v>-0.35079401423023071</v>
      </c>
      <c r="W16" s="68">
        <f t="shared" ca="1" si="22"/>
        <v>-0.64484972450770806</v>
      </c>
      <c r="X16" s="68">
        <f t="shared" ca="1" si="22"/>
        <v>-1.3117626563409588</v>
      </c>
      <c r="Y16" s="68">
        <f t="shared" ca="1" si="22"/>
        <v>4.7560883894730219</v>
      </c>
      <c r="Z16" s="68">
        <f t="shared" ca="1" si="22"/>
        <v>0.73598162253402477</v>
      </c>
      <c r="AA16" s="68">
        <f t="shared" ca="1" si="22"/>
        <v>0.42691437359580164</v>
      </c>
      <c r="AB16" s="68">
        <f t="shared" ca="1" si="22"/>
        <v>0.30249335868317928</v>
      </c>
    </row>
    <row r="17" spans="2:28">
      <c r="B17" s="66" t="s">
        <v>780</v>
      </c>
      <c r="C17" s="68"/>
      <c r="D17" s="68" t="e">
        <f t="shared" ref="D17:T17" si="23">D15/D4</f>
        <v>#DIV/0!</v>
      </c>
      <c r="E17" s="68">
        <f t="shared" si="23"/>
        <v>5.3763440860215055E-2</v>
      </c>
      <c r="F17" s="68">
        <f t="shared" si="23"/>
        <v>0</v>
      </c>
      <c r="G17" s="68">
        <f t="shared" si="23"/>
        <v>1.2280701754385939E-2</v>
      </c>
      <c r="H17" s="68">
        <f t="shared" si="23"/>
        <v>-7.8767123287671242E-2</v>
      </c>
      <c r="I17" s="68">
        <f t="shared" si="23"/>
        <v>-4.1361256544502657E-2</v>
      </c>
      <c r="J17" s="68">
        <f t="shared" si="23"/>
        <v>-8.5596707818930029E-2</v>
      </c>
      <c r="K17" s="68">
        <f t="shared" si="23"/>
        <v>-0.49067164179104472</v>
      </c>
      <c r="L17" s="68">
        <f t="shared" si="23"/>
        <v>-0.23044871794871791</v>
      </c>
      <c r="M17" s="68">
        <f t="shared" si="23"/>
        <v>-0.19824908218017506</v>
      </c>
      <c r="N17" s="68">
        <f t="shared" si="23"/>
        <v>-0.26886105447130787</v>
      </c>
      <c r="O17" s="68">
        <f t="shared" si="23"/>
        <v>-0.66950293448980469</v>
      </c>
      <c r="P17" s="68">
        <f t="shared" si="23"/>
        <v>-1.7688423734266561</v>
      </c>
      <c r="Q17" s="68">
        <f t="shared" si="23"/>
        <v>-1.375928546162009</v>
      </c>
      <c r="R17" s="68">
        <f t="shared" si="23"/>
        <v>-0.64964943409877862</v>
      </c>
      <c r="S17" s="68">
        <f t="shared" si="23"/>
        <v>-0.39079585557081514</v>
      </c>
      <c r="T17" s="68">
        <f t="shared" si="23"/>
        <v>-0.33194909752112117</v>
      </c>
      <c r="U17" s="68">
        <f t="shared" ref="U17:AA17" ca="1" si="24">U15/U4</f>
        <v>-0.19623187702662662</v>
      </c>
      <c r="V17" s="68">
        <f t="shared" ca="1" si="24"/>
        <v>-0.11646296841903565</v>
      </c>
      <c r="W17" s="68">
        <f t="shared" ca="1" si="24"/>
        <v>-3.9416127347020005E-2</v>
      </c>
      <c r="X17" s="68">
        <f t="shared" ca="1" si="24"/>
        <v>1.1896692706619569E-2</v>
      </c>
      <c r="Y17" s="68">
        <f t="shared" ca="1" si="24"/>
        <v>6.5915224706243544E-2</v>
      </c>
      <c r="Z17" s="68">
        <f t="shared" ca="1" si="24"/>
        <v>0.11024779424735211</v>
      </c>
      <c r="AA17" s="68">
        <f t="shared" ca="1" si="24"/>
        <v>0.15167040609658655</v>
      </c>
      <c r="AB17" s="68">
        <f t="shared" ref="AB17" ca="1" si="25">AB15/AB4</f>
        <v>0.19055480059102001</v>
      </c>
    </row>
    <row r="19" spans="2:28">
      <c r="B19" s="66" t="s">
        <v>124</v>
      </c>
      <c r="C19" s="46">
        <v>0.3</v>
      </c>
      <c r="D19" s="46">
        <v>0.3</v>
      </c>
      <c r="E19" s="46">
        <v>0.3</v>
      </c>
      <c r="F19" s="46">
        <v>0.3</v>
      </c>
      <c r="G19" s="46">
        <v>0.3</v>
      </c>
      <c r="H19" s="46">
        <v>0.3</v>
      </c>
      <c r="I19" s="46">
        <v>0.3</v>
      </c>
      <c r="J19" s="46">
        <v>0.3</v>
      </c>
      <c r="K19" s="46">
        <v>0.3</v>
      </c>
      <c r="L19" s="46">
        <v>0.3</v>
      </c>
      <c r="M19" s="46">
        <v>0.3</v>
      </c>
      <c r="N19" s="46">
        <v>0.3</v>
      </c>
      <c r="O19" s="46">
        <v>0.3</v>
      </c>
      <c r="P19" s="46">
        <v>0.3</v>
      </c>
      <c r="Q19" s="46">
        <v>0.3</v>
      </c>
      <c r="R19" s="46">
        <v>0.3</v>
      </c>
      <c r="S19" s="46">
        <v>0.3</v>
      </c>
      <c r="T19" s="46">
        <v>0.3</v>
      </c>
      <c r="U19" s="46">
        <v>0.3</v>
      </c>
      <c r="V19" s="46">
        <v>0.3</v>
      </c>
      <c r="W19" s="46">
        <v>0.3</v>
      </c>
      <c r="X19" s="46">
        <v>0.3</v>
      </c>
      <c r="Y19" s="46">
        <v>0.3</v>
      </c>
      <c r="Z19" s="46">
        <v>0.3</v>
      </c>
      <c r="AA19" s="46">
        <v>0.3</v>
      </c>
      <c r="AB19" s="46">
        <v>0.3</v>
      </c>
    </row>
    <row r="20" spans="2:28">
      <c r="B20" s="66" t="s">
        <v>125</v>
      </c>
      <c r="C20" s="277"/>
      <c r="D20" s="277">
        <f t="shared" ref="D20:T20" si="26">D15*(1-D19)</f>
        <v>0</v>
      </c>
      <c r="E20" s="277">
        <f t="shared" si="26"/>
        <v>12.179999999999998</v>
      </c>
      <c r="F20" s="277">
        <f t="shared" si="26"/>
        <v>0</v>
      </c>
      <c r="G20" s="277">
        <f t="shared" si="26"/>
        <v>3.2339999999999929</v>
      </c>
      <c r="H20" s="277">
        <f t="shared" si="26"/>
        <v>-26.323500000000003</v>
      </c>
      <c r="I20" s="277">
        <f t="shared" si="26"/>
        <v>-17.253600000000016</v>
      </c>
      <c r="J20" s="277">
        <f t="shared" si="26"/>
        <v>-42.515199999999993</v>
      </c>
      <c r="K20" s="277">
        <f t="shared" si="26"/>
        <v>-277.07049999999992</v>
      </c>
      <c r="L20" s="277">
        <f t="shared" si="26"/>
        <v>-142.17336400349464</v>
      </c>
      <c r="M20" s="277">
        <f t="shared" si="26"/>
        <v>-135.13499999999999</v>
      </c>
      <c r="N20" s="277">
        <f t="shared" si="26"/>
        <v>-170.57040000000001</v>
      </c>
      <c r="O20" s="277">
        <f t="shared" si="26"/>
        <v>-376.10292677828005</v>
      </c>
      <c r="P20" s="277">
        <f t="shared" si="26"/>
        <v>-937.94605954465828</v>
      </c>
      <c r="Q20" s="277">
        <f t="shared" si="26"/>
        <v>-1110.5147442922373</v>
      </c>
      <c r="R20" s="277">
        <f t="shared" si="26"/>
        <v>-789.59847781065082</v>
      </c>
      <c r="S20" s="277">
        <f t="shared" si="26"/>
        <v>-632.3425516178736</v>
      </c>
      <c r="T20" s="277">
        <f t="shared" si="26"/>
        <v>-563.16245607476617</v>
      </c>
      <c r="U20" s="277">
        <f t="shared" ref="U20:AA20" ca="1" si="27">U15*(1-U19)</f>
        <v>-371.75299837216346</v>
      </c>
      <c r="V20" s="277">
        <f t="shared" ca="1" si="27"/>
        <v>-241.34427177106781</v>
      </c>
      <c r="W20" s="277">
        <f t="shared" ca="1" si="27"/>
        <v>-85.713484607981329</v>
      </c>
      <c r="X20" s="277">
        <f t="shared" ca="1" si="27"/>
        <v>26.722263645624153</v>
      </c>
      <c r="Y20" s="277">
        <f t="shared" ca="1" si="27"/>
        <v>153.81571151101423</v>
      </c>
      <c r="Z20" s="277">
        <f t="shared" ca="1" si="27"/>
        <v>267.02124844011593</v>
      </c>
      <c r="AA20" s="277">
        <f t="shared" ca="1" si="27"/>
        <v>381.01645745469693</v>
      </c>
      <c r="AB20" s="277">
        <f t="shared" ref="AB20" ca="1" si="28">AB15*(1-AB19)</f>
        <v>496.27140538373487</v>
      </c>
    </row>
    <row r="21" spans="2:28">
      <c r="B21" s="66" t="s">
        <v>779</v>
      </c>
      <c r="C21" s="277"/>
      <c r="D21" s="277"/>
      <c r="E21" s="283">
        <f t="shared" ref="E21:T21" si="29">E20/(E11*5)</f>
        <v>4.3749999999999997E-2</v>
      </c>
      <c r="F21" s="283">
        <f t="shared" si="29"/>
        <v>0</v>
      </c>
      <c r="G21" s="283">
        <f t="shared" si="29"/>
        <v>7.8399999999999824E-3</v>
      </c>
      <c r="H21" s="283">
        <f t="shared" si="29"/>
        <v>-4.2819148936170212E-2</v>
      </c>
      <c r="I21" s="283">
        <f t="shared" si="29"/>
        <v>-2.5308924485125877E-2</v>
      </c>
      <c r="J21" s="283">
        <f t="shared" si="29"/>
        <v>-4.5930599369085175E-2</v>
      </c>
      <c r="K21" s="283">
        <f t="shared" si="29"/>
        <v>-0.12397306397306396</v>
      </c>
      <c r="L21" s="283">
        <f t="shared" si="29"/>
        <v>-0.1070851063829787</v>
      </c>
      <c r="M21" s="283">
        <f t="shared" si="29"/>
        <v>-9.3156398104265403E-2</v>
      </c>
      <c r="N21" s="283">
        <f t="shared" si="29"/>
        <v>-0.1663063063063063</v>
      </c>
      <c r="O21" s="283">
        <f t="shared" si="29"/>
        <v>-0.16668214559524697</v>
      </c>
      <c r="P21" s="283">
        <f t="shared" si="29"/>
        <v>-0.2359019264448336</v>
      </c>
      <c r="Q21" s="283">
        <f t="shared" si="29"/>
        <v>-0.29010312024353119</v>
      </c>
      <c r="R21" s="283">
        <f t="shared" si="29"/>
        <v>-0.30232544378698223</v>
      </c>
      <c r="S21" s="283">
        <f t="shared" si="29"/>
        <v>-0.24246263482280433</v>
      </c>
      <c r="T21" s="283">
        <f t="shared" si="29"/>
        <v>-0.2117024750672013</v>
      </c>
      <c r="U21" s="283">
        <f t="shared" ref="U21:AA21" ca="1" si="30">U20/(U11*5)</f>
        <v>-0.13974836038891025</v>
      </c>
      <c r="V21" s="283">
        <f t="shared" ca="1" si="30"/>
        <v>-9.072547206599145E-2</v>
      </c>
      <c r="W21" s="283">
        <f t="shared" ca="1" si="30"/>
        <v>-3.3917027787794853E-2</v>
      </c>
      <c r="X21" s="283">
        <f t="shared" ca="1" si="30"/>
        <v>1.0789859875829633E-2</v>
      </c>
      <c r="Y21" s="283">
        <f t="shared" ca="1" si="30"/>
        <v>6.3374884852350807E-2</v>
      </c>
      <c r="Z21" s="283">
        <f t="shared" ca="1" si="30"/>
        <v>0.11226289329988871</v>
      </c>
      <c r="AA21" s="283">
        <f t="shared" ca="1" si="30"/>
        <v>0.16345871027659489</v>
      </c>
      <c r="AB21" s="283">
        <f t="shared" ref="AB21" ca="1" si="31">AB20/(AB11*5)</f>
        <v>0.21724886178998243</v>
      </c>
    </row>
    <row r="22" spans="2:28">
      <c r="B22" s="66" t="s">
        <v>778</v>
      </c>
      <c r="C22" s="277"/>
      <c r="D22" s="277"/>
      <c r="E22" s="283"/>
      <c r="F22" s="283">
        <f t="shared" ref="F22:T22" si="32">F20/F192</f>
        <v>0</v>
      </c>
      <c r="G22" s="283">
        <f t="shared" si="32"/>
        <v>1.6610169491525387E-2</v>
      </c>
      <c r="H22" s="283">
        <f t="shared" si="32"/>
        <v>-9.583333333333334E-2</v>
      </c>
      <c r="I22" s="283">
        <f t="shared" si="32"/>
        <v>-5.1203703703703744E-2</v>
      </c>
      <c r="J22" s="283">
        <f t="shared" si="32"/>
        <v>-9.7066666666666648E-2</v>
      </c>
      <c r="K22" s="283">
        <f t="shared" si="32"/>
        <v>-0.34347014925373126</v>
      </c>
      <c r="L22" s="283">
        <f t="shared" si="32"/>
        <v>-0.15397639228177937</v>
      </c>
      <c r="M22" s="283">
        <f t="shared" si="32"/>
        <v>-0.13056582186789614</v>
      </c>
      <c r="N22" s="283">
        <f t="shared" si="32"/>
        <v>-0.16543605749656079</v>
      </c>
      <c r="O22" s="283">
        <f t="shared" si="32"/>
        <v>-0.28549936715861257</v>
      </c>
      <c r="P22" s="283">
        <f t="shared" si="32"/>
        <v>-0.49319507616333325</v>
      </c>
      <c r="Q22" s="283">
        <f t="shared" si="32"/>
        <v>-0.4699415932079925</v>
      </c>
      <c r="R22" s="283">
        <f t="shared" si="32"/>
        <v>-0.31491399357870531</v>
      </c>
      <c r="S22" s="283">
        <f t="shared" si="32"/>
        <v>-0.24063837798881418</v>
      </c>
      <c r="T22" s="283">
        <f t="shared" si="32"/>
        <v>-0.20558178908940961</v>
      </c>
      <c r="U22" s="283">
        <f t="shared" ref="U22:AA22" ca="1" si="33">U20/U192</f>
        <v>-0.13121802008385178</v>
      </c>
      <c r="V22" s="283">
        <f t="shared" ca="1" si="33"/>
        <v>-8.2884023213924587E-2</v>
      </c>
      <c r="W22" s="283">
        <f t="shared" ca="1" si="33"/>
        <v>-2.9041946235835905E-2</v>
      </c>
      <c r="X22" s="283">
        <f t="shared" ca="1" si="33"/>
        <v>8.9838700201059097E-3</v>
      </c>
      <c r="Y22" s="283">
        <f t="shared" ca="1" si="33"/>
        <v>5.1547316712876469E-2</v>
      </c>
      <c r="Z22" s="283">
        <f t="shared" ca="1" si="33"/>
        <v>8.9537055451130387E-2</v>
      </c>
      <c r="AA22" s="283">
        <f t="shared" ca="1" si="33"/>
        <v>0.12823323573872733</v>
      </c>
      <c r="AB22" s="283">
        <f t="shared" ref="AB22" ca="1" si="34">AB20/AB192</f>
        <v>0.16807139193720658</v>
      </c>
    </row>
    <row r="23" spans="2:28">
      <c r="C23" s="277"/>
      <c r="D23" s="277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</row>
    <row r="24" spans="2:28">
      <c r="B24" s="279" t="s">
        <v>784</v>
      </c>
      <c r="C24" s="279">
        <f>C2</f>
        <v>2001</v>
      </c>
      <c r="D24" s="279">
        <f t="shared" ref="D24:T24" si="35">D2</f>
        <v>2002</v>
      </c>
      <c r="E24" s="279">
        <f t="shared" si="35"/>
        <v>2003</v>
      </c>
      <c r="F24" s="279">
        <f t="shared" si="35"/>
        <v>2004</v>
      </c>
      <c r="G24" s="279">
        <f t="shared" si="35"/>
        <v>2005</v>
      </c>
      <c r="H24" s="279">
        <f t="shared" si="35"/>
        <v>2006</v>
      </c>
      <c r="I24" s="279">
        <f t="shared" si="35"/>
        <v>2007</v>
      </c>
      <c r="J24" s="279">
        <f t="shared" si="35"/>
        <v>2008</v>
      </c>
      <c r="K24" s="279">
        <f t="shared" si="35"/>
        <v>2009</v>
      </c>
      <c r="L24" s="279">
        <f t="shared" si="35"/>
        <v>2010</v>
      </c>
      <c r="M24" s="279">
        <f t="shared" si="35"/>
        <v>2011</v>
      </c>
      <c r="N24" s="279">
        <f t="shared" si="35"/>
        <v>2012</v>
      </c>
      <c r="O24" s="279">
        <f t="shared" si="35"/>
        <v>2013</v>
      </c>
      <c r="P24" s="279">
        <f t="shared" si="35"/>
        <v>2014</v>
      </c>
      <c r="Q24" s="279">
        <f t="shared" si="35"/>
        <v>2015</v>
      </c>
      <c r="R24" s="279">
        <f t="shared" si="35"/>
        <v>2016</v>
      </c>
      <c r="S24" s="279">
        <f t="shared" si="35"/>
        <v>2017</v>
      </c>
      <c r="T24" s="279">
        <f t="shared" si="35"/>
        <v>2018</v>
      </c>
      <c r="U24" s="279">
        <f t="shared" ref="U24:AA24" si="36">U2</f>
        <v>2019</v>
      </c>
      <c r="V24" s="279">
        <f t="shared" si="36"/>
        <v>2020</v>
      </c>
      <c r="W24" s="279">
        <f t="shared" si="36"/>
        <v>2021</v>
      </c>
      <c r="X24" s="279">
        <f t="shared" si="36"/>
        <v>2022</v>
      </c>
      <c r="Y24" s="279">
        <f t="shared" si="36"/>
        <v>2023</v>
      </c>
      <c r="Z24" s="279">
        <f t="shared" si="36"/>
        <v>2024</v>
      </c>
      <c r="AA24" s="279">
        <f t="shared" si="36"/>
        <v>2025</v>
      </c>
      <c r="AB24" s="279">
        <f t="shared" ref="AB24" si="37">AB2</f>
        <v>2026</v>
      </c>
    </row>
    <row r="25" spans="2:28">
      <c r="C25" s="277"/>
      <c r="D25" s="277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</row>
    <row r="26" spans="2:28">
      <c r="B26" s="70" t="s">
        <v>785</v>
      </c>
      <c r="C26" s="284"/>
      <c r="D26" s="284"/>
      <c r="E26" s="284">
        <f>'Master old'!E52/E131</f>
        <v>198.27586206896552</v>
      </c>
      <c r="F26" s="284">
        <f>'Master old'!F52/F131</f>
        <v>178.29912023460409</v>
      </c>
      <c r="G26" s="284">
        <f>'Master old'!G52/G131</f>
        <v>169.69696969696972</v>
      </c>
      <c r="H26" s="284">
        <f>'Master old'!H52/H131</f>
        <v>162.07951070336392</v>
      </c>
      <c r="I26" s="284">
        <f>'Master old'!I52/I131</f>
        <v>167.30769230769229</v>
      </c>
      <c r="J26" s="284">
        <f>'Master old'!J52/J131</f>
        <v>178.76712328767124</v>
      </c>
      <c r="K26" s="284">
        <f>'Master old'!K52/K131</f>
        <v>185.71428571428572</v>
      </c>
      <c r="L26" s="284">
        <f>'Master old'!L52/L131</f>
        <v>180.542256841929</v>
      </c>
      <c r="M26" s="284">
        <f>'Master old'!M52/M131</f>
        <v>176</v>
      </c>
      <c r="N26" s="284">
        <f>'Master old'!N52/N131</f>
        <v>184.09090909090909</v>
      </c>
      <c r="O26" s="284">
        <f>'Master old'!O52/O131</f>
        <v>183.33333333333331</v>
      </c>
      <c r="P26" s="284">
        <f>'Master old'!P52/P131</f>
        <v>201.05633802816902</v>
      </c>
      <c r="Q26" s="284">
        <f>'Master old'!Q52/Q131</f>
        <v>205.95611285266457</v>
      </c>
      <c r="R26" s="284">
        <f>'Master old'!R52/R131</f>
        <v>200.59347181008903</v>
      </c>
      <c r="S26" s="284">
        <f>'Master old'!S52/S131</f>
        <v>199.07975460122699</v>
      </c>
      <c r="T26" s="284">
        <f>'Master old'!T52/T131</f>
        <v>195.13677811550153</v>
      </c>
      <c r="U26" s="284">
        <f>'Master old'!U52/U131</f>
        <v>207.78443113772457</v>
      </c>
      <c r="V26" s="284">
        <f>'Master old'!V52/V131</f>
        <v>229.16666666666669</v>
      </c>
      <c r="W26" s="284">
        <f>'Master old'!W52/W131</f>
        <v>226.9308943089431</v>
      </c>
      <c r="X26" s="284">
        <f>'Master old'!X52/X131</f>
        <v>224.7169343644656</v>
      </c>
      <c r="Y26" s="284">
        <f>'Master old'!Y52/Y131</f>
        <v>222.52457402920251</v>
      </c>
      <c r="Z26" s="284">
        <f>'Master old'!Z52/Z131</f>
        <v>220.35360257525906</v>
      </c>
      <c r="AA26" s="284">
        <f>'Master old'!AA52/AA131</f>
        <v>218.20381133062241</v>
      </c>
      <c r="AB26" s="284">
        <f>'Master old'!AB52/AB131</f>
        <v>216.07499365910414</v>
      </c>
    </row>
    <row r="27" spans="2:28">
      <c r="C27" s="277"/>
      <c r="D27" s="277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</row>
    <row r="28" spans="2:28">
      <c r="B28" s="66" t="s">
        <v>413</v>
      </c>
      <c r="C28" s="277"/>
      <c r="D28" s="277"/>
      <c r="E28" s="283"/>
      <c r="F28" s="283"/>
      <c r="G28" s="283"/>
      <c r="H28" s="283"/>
      <c r="I28" s="277">
        <f t="shared" ref="I28:N28" si="38">I4*I$26</f>
        <v>99702</v>
      </c>
      <c r="J28" s="277">
        <f t="shared" si="38"/>
        <v>126846</v>
      </c>
      <c r="K28" s="277">
        <f t="shared" si="38"/>
        <v>149812</v>
      </c>
      <c r="L28" s="277">
        <f t="shared" si="38"/>
        <v>159120</v>
      </c>
      <c r="M28" s="277">
        <f t="shared" si="38"/>
        <v>171384.40000000002</v>
      </c>
      <c r="N28" s="277">
        <f t="shared" si="38"/>
        <v>166843.80000000002</v>
      </c>
      <c r="O28" s="277">
        <f t="shared" ref="O28" si="39">O4*O$26</f>
        <v>147128.77631315231</v>
      </c>
      <c r="P28" s="371">
        <f>SUM(Interims!AE126:AH126)</f>
        <v>152303</v>
      </c>
      <c r="Q28" s="371">
        <f>SUM(Interims!AI126:AL126)</f>
        <v>237468</v>
      </c>
      <c r="R28" s="371">
        <f>SUM(Interims!AM126:AP126)</f>
        <v>348294</v>
      </c>
      <c r="S28" s="371">
        <f>SUM(Interims!AQ126:AT126)</f>
        <v>460184</v>
      </c>
      <c r="T28" s="371">
        <f>SUM(Interims!AU126:AX126)</f>
        <v>472937</v>
      </c>
      <c r="U28" s="277">
        <f t="shared" ref="U28:AA28" ca="1" si="40">U4*U$26</f>
        <v>562341.17704406381</v>
      </c>
      <c r="V28" s="277">
        <f t="shared" ca="1" si="40"/>
        <v>678426.1007311343</v>
      </c>
      <c r="W28" s="277">
        <f t="shared" ca="1" si="40"/>
        <v>704970.23954462272</v>
      </c>
      <c r="X28" s="277">
        <f t="shared" ca="1" si="40"/>
        <v>721082.17850476224</v>
      </c>
      <c r="Y28" s="277">
        <f t="shared" ca="1" si="40"/>
        <v>741813.78615001205</v>
      </c>
      <c r="Z28" s="277">
        <f t="shared" ca="1" si="40"/>
        <v>762426.57939793007</v>
      </c>
      <c r="AA28" s="277">
        <f t="shared" ca="1" si="40"/>
        <v>783081.88446241955</v>
      </c>
      <c r="AB28" s="277">
        <f t="shared" ref="AB28" ca="1" si="41">AB4*AB$26</f>
        <v>803907.03086009622</v>
      </c>
    </row>
    <row r="29" spans="2:28">
      <c r="C29" s="277"/>
      <c r="D29" s="277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</row>
    <row r="30" spans="2:28">
      <c r="B30" s="66" t="s">
        <v>4</v>
      </c>
      <c r="C30" s="277"/>
      <c r="D30" s="277"/>
      <c r="E30" s="283"/>
      <c r="F30" s="283"/>
      <c r="G30" s="283"/>
      <c r="H30" s="283"/>
      <c r="I30" s="277">
        <f t="shared" ref="I30:O30" si="42">I7*I$26</f>
        <v>18687.599999999999</v>
      </c>
      <c r="J30" s="277">
        <f t="shared" si="42"/>
        <v>22237.200000000001</v>
      </c>
      <c r="K30" s="277">
        <f t="shared" si="42"/>
        <v>9503</v>
      </c>
      <c r="L30" s="277">
        <f t="shared" si="42"/>
        <v>11271</v>
      </c>
      <c r="M30" s="277">
        <f t="shared" si="42"/>
        <v>17085.200000000004</v>
      </c>
      <c r="N30" s="277">
        <f t="shared" si="42"/>
        <v>-7095.6000000000013</v>
      </c>
      <c r="O30" s="277">
        <f t="shared" si="42"/>
        <v>-15768.187489549518</v>
      </c>
      <c r="P30" s="371">
        <f>SUM(Interims!AE143:AH143)</f>
        <v>-109520</v>
      </c>
      <c r="Q30" s="371">
        <f>SUM(Interims!AI143:AL143)</f>
        <v>-169059</v>
      </c>
      <c r="R30" s="371">
        <f>SUM(Interims!AM143:AP143)</f>
        <v>-121489</v>
      </c>
      <c r="S30" s="371">
        <f>SUM(Interims!AQ143:AT143)</f>
        <v>-75998</v>
      </c>
      <c r="T30" s="371">
        <f>SUM(Interims!AU143:AX143)</f>
        <v>-53172</v>
      </c>
      <c r="U30" s="277">
        <f t="shared" ref="U30:AA30" ca="1" si="43">U7*U$26</f>
        <v>198.70176634666649</v>
      </c>
      <c r="V30" s="277">
        <f t="shared" ca="1" si="43"/>
        <v>42912.482455900397</v>
      </c>
      <c r="W30" s="277">
        <f t="shared" ca="1" si="43"/>
        <v>86910.575945176766</v>
      </c>
      <c r="X30" s="277">
        <f t="shared" ca="1" si="43"/>
        <v>119885.68771604441</v>
      </c>
      <c r="Y30" s="277">
        <f t="shared" ca="1" si="43"/>
        <v>156913.66776100494</v>
      </c>
      <c r="Z30" s="277">
        <f t="shared" ca="1" si="43"/>
        <v>188879.61067987973</v>
      </c>
      <c r="AA30" s="277">
        <f t="shared" ca="1" si="43"/>
        <v>220495.41677643501</v>
      </c>
      <c r="AB30" s="277">
        <f t="shared" ref="AB30" ca="1" si="44">AB7*AB$26</f>
        <v>251906.32101835526</v>
      </c>
    </row>
    <row r="31" spans="2:28">
      <c r="C31" s="277"/>
      <c r="D31" s="277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</row>
    <row r="32" spans="2:28">
      <c r="B32" s="66" t="s">
        <v>137</v>
      </c>
      <c r="C32" s="277"/>
      <c r="D32" s="277"/>
      <c r="E32" s="283"/>
      <c r="F32" s="283"/>
      <c r="G32" s="283"/>
      <c r="H32" s="283"/>
      <c r="I32" s="277">
        <f t="shared" ref="I32:N32" si="45">I11*I$26</f>
        <v>22811.4</v>
      </c>
      <c r="J32" s="277">
        <f t="shared" si="45"/>
        <v>33094.799999999996</v>
      </c>
      <c r="K32" s="277">
        <f t="shared" si="45"/>
        <v>83011.5</v>
      </c>
      <c r="L32" s="277">
        <f t="shared" si="45"/>
        <v>47940</v>
      </c>
      <c r="M32" s="277">
        <f t="shared" si="45"/>
        <v>51062</v>
      </c>
      <c r="N32" s="277">
        <f t="shared" si="45"/>
        <v>37762.200000000004</v>
      </c>
      <c r="O32" s="277">
        <f t="shared" ref="O32:T32" si="46">O11*O$26</f>
        <v>82734.960000000006</v>
      </c>
      <c r="P32" s="277">
        <f t="shared" si="46"/>
        <v>159880</v>
      </c>
      <c r="Q32" s="277">
        <f t="shared" si="46"/>
        <v>157680</v>
      </c>
      <c r="R32" s="277">
        <f>R11*R$26</f>
        <v>104780.00000000001</v>
      </c>
      <c r="S32" s="277">
        <f t="shared" si="46"/>
        <v>103839.99999999999</v>
      </c>
      <c r="T32" s="277">
        <f t="shared" si="46"/>
        <v>103819.0103343465</v>
      </c>
      <c r="U32" s="277">
        <f>U11*U$26</f>
        <v>110547.96646706587</v>
      </c>
      <c r="V32" s="277">
        <f t="shared" ref="V32:AA32" si="47">V11*V$26</f>
        <v>121924</v>
      </c>
      <c r="W32" s="277">
        <f t="shared" si="47"/>
        <v>114697.77268292681</v>
      </c>
      <c r="X32" s="277">
        <f t="shared" si="47"/>
        <v>111307.19462215346</v>
      </c>
      <c r="Y32" s="277">
        <f t="shared" si="47"/>
        <v>108016.8453567376</v>
      </c>
      <c r="Z32" s="277">
        <f t="shared" si="47"/>
        <v>104823.76202570427</v>
      </c>
      <c r="AA32" s="277">
        <f t="shared" si="47"/>
        <v>101725.06935313957</v>
      </c>
      <c r="AB32" s="277">
        <f t="shared" ref="AB32" si="48">AB11*AB$26</f>
        <v>98717.977059090656</v>
      </c>
    </row>
    <row r="33" spans="2:28">
      <c r="C33" s="277"/>
      <c r="D33" s="277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</row>
    <row r="34" spans="2:28">
      <c r="B34" s="66" t="s">
        <v>177</v>
      </c>
      <c r="C34" s="277"/>
      <c r="D34" s="277"/>
      <c r="E34" s="283"/>
      <c r="F34" s="283"/>
      <c r="G34" s="283"/>
      <c r="H34" s="283"/>
      <c r="I34" s="277">
        <f t="shared" ref="I34:N34" si="49">I30-I32</f>
        <v>-4123.8000000000029</v>
      </c>
      <c r="J34" s="277">
        <f t="shared" si="49"/>
        <v>-10857.599999999995</v>
      </c>
      <c r="K34" s="277">
        <f t="shared" si="49"/>
        <v>-73508.5</v>
      </c>
      <c r="L34" s="277">
        <f t="shared" si="49"/>
        <v>-36669</v>
      </c>
      <c r="M34" s="277">
        <f t="shared" si="49"/>
        <v>-33976.799999999996</v>
      </c>
      <c r="N34" s="277">
        <f t="shared" si="49"/>
        <v>-44857.8</v>
      </c>
      <c r="O34" s="277">
        <f t="shared" ref="O34:T34" si="50">O30-O32</f>
        <v>-98503.147489549519</v>
      </c>
      <c r="P34" s="277">
        <f t="shared" si="50"/>
        <v>-269400</v>
      </c>
      <c r="Q34" s="277">
        <f t="shared" si="50"/>
        <v>-326739</v>
      </c>
      <c r="R34" s="277">
        <f t="shared" si="50"/>
        <v>-226269</v>
      </c>
      <c r="S34" s="277">
        <f t="shared" si="50"/>
        <v>-179838</v>
      </c>
      <c r="T34" s="277">
        <f t="shared" si="50"/>
        <v>-156991.0103343465</v>
      </c>
      <c r="U34" s="277">
        <f t="shared" ref="U34:AA34" ca="1" si="51">U30-U32</f>
        <v>-110349.2647007192</v>
      </c>
      <c r="V34" s="277">
        <f t="shared" ca="1" si="51"/>
        <v>-79011.517544099595</v>
      </c>
      <c r="W34" s="277">
        <f t="shared" ca="1" si="51"/>
        <v>-27787.19673775004</v>
      </c>
      <c r="X34" s="277">
        <f t="shared" ca="1" si="51"/>
        <v>8578.4930938909529</v>
      </c>
      <c r="Y34" s="277">
        <f t="shared" ca="1" si="51"/>
        <v>48896.822404267339</v>
      </c>
      <c r="Z34" s="277">
        <f t="shared" ca="1" si="51"/>
        <v>84055.848654175454</v>
      </c>
      <c r="AA34" s="277">
        <f t="shared" ca="1" si="51"/>
        <v>118770.34742329545</v>
      </c>
      <c r="AB34" s="277">
        <f t="shared" ref="AB34" ca="1" si="52">AB30-AB32</f>
        <v>153188.3439592646</v>
      </c>
    </row>
    <row r="35" spans="2:28">
      <c r="C35" s="277"/>
      <c r="D35" s="277"/>
      <c r="E35" s="283"/>
      <c r="F35" s="283"/>
      <c r="G35" s="283"/>
      <c r="H35" s="283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</row>
    <row r="36" spans="2:28">
      <c r="B36" s="70" t="s">
        <v>790</v>
      </c>
      <c r="C36" s="277"/>
      <c r="D36" s="277"/>
      <c r="E36" s="283"/>
      <c r="F36" s="283"/>
      <c r="H36" s="283"/>
      <c r="I36" s="277"/>
      <c r="J36" s="277"/>
      <c r="K36" s="277"/>
      <c r="L36" s="277"/>
      <c r="M36" s="277"/>
      <c r="N36" s="277"/>
      <c r="O36" s="277"/>
      <c r="P36" s="277"/>
      <c r="Q36" s="283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</row>
    <row r="37" spans="2:28">
      <c r="B37" s="66" t="s">
        <v>607</v>
      </c>
      <c r="C37" s="277"/>
      <c r="D37" s="277"/>
      <c r="E37" s="283"/>
      <c r="F37" s="283"/>
      <c r="G37" s="277">
        <f>G4/G$131</f>
        <v>114</v>
      </c>
      <c r="H37" s="277">
        <f t="shared" ref="H37:T37" si="53">H4/H$131</f>
        <v>146</v>
      </c>
      <c r="I37" s="277">
        <f t="shared" si="53"/>
        <v>191.00000000000003</v>
      </c>
      <c r="J37" s="277">
        <f t="shared" si="53"/>
        <v>243</v>
      </c>
      <c r="K37" s="277">
        <f t="shared" si="53"/>
        <v>268</v>
      </c>
      <c r="L37" s="277">
        <f t="shared" si="53"/>
        <v>312</v>
      </c>
      <c r="M37" s="277">
        <f t="shared" si="53"/>
        <v>354.1</v>
      </c>
      <c r="N37" s="277">
        <f t="shared" si="53"/>
        <v>343.3</v>
      </c>
      <c r="O37" s="277">
        <f t="shared" si="53"/>
        <v>297.22985113768146</v>
      </c>
      <c r="P37" s="277">
        <f t="shared" si="53"/>
        <v>266.73029772329249</v>
      </c>
      <c r="Q37" s="277">
        <f t="shared" si="53"/>
        <v>361.44292237442926</v>
      </c>
      <c r="R37" s="277">
        <f t="shared" si="53"/>
        <v>515.22781065088759</v>
      </c>
      <c r="S37" s="277">
        <f t="shared" si="53"/>
        <v>709.06625577812019</v>
      </c>
      <c r="T37" s="277">
        <f t="shared" si="53"/>
        <v>736.66199376947031</v>
      </c>
      <c r="U37" s="277">
        <f t="shared" ref="U37:AA37" ca="1" si="54">U4/U$131</f>
        <v>810.28988046695076</v>
      </c>
      <c r="V37" s="277">
        <f t="shared" ca="1" si="54"/>
        <v>881.07285809238215</v>
      </c>
      <c r="W37" s="277">
        <f t="shared" ca="1" si="54"/>
        <v>902.01553265257871</v>
      </c>
      <c r="X37" s="277">
        <f t="shared" ca="1" si="54"/>
        <v>908.99595883860002</v>
      </c>
      <c r="Y37" s="277">
        <f t="shared" ca="1" si="54"/>
        <v>921.31055829432114</v>
      </c>
      <c r="Z37" s="277">
        <f t="shared" ca="1" si="54"/>
        <v>932.91727254568684</v>
      </c>
      <c r="AA37" s="277">
        <f t="shared" ca="1" si="54"/>
        <v>944.03096739006128</v>
      </c>
      <c r="AB37" s="277">
        <f t="shared" ref="AB37" ca="1" si="55">AB4/AB$131</f>
        <v>954.81415400431797</v>
      </c>
    </row>
    <row r="38" spans="2:28">
      <c r="B38" s="66" t="s">
        <v>4</v>
      </c>
      <c r="C38" s="277"/>
      <c r="D38" s="277"/>
      <c r="E38" s="283"/>
      <c r="F38" s="283"/>
      <c r="G38" s="277">
        <f>G7/G$131</f>
        <v>26.4</v>
      </c>
      <c r="H38" s="277">
        <f t="shared" ref="H38:T38" si="56">H7/H$131</f>
        <v>26.1</v>
      </c>
      <c r="I38" s="277">
        <f t="shared" si="56"/>
        <v>35.799999999999997</v>
      </c>
      <c r="J38" s="277">
        <f t="shared" si="56"/>
        <v>42.6</v>
      </c>
      <c r="K38" s="277">
        <f t="shared" si="56"/>
        <v>17</v>
      </c>
      <c r="L38" s="277">
        <f t="shared" si="56"/>
        <v>22.1</v>
      </c>
      <c r="M38" s="277">
        <f t="shared" si="56"/>
        <v>35.300000000000004</v>
      </c>
      <c r="N38" s="277">
        <f t="shared" si="56"/>
        <v>-14.600000000000001</v>
      </c>
      <c r="O38" s="277">
        <f t="shared" si="56"/>
        <v>-31.85492422131216</v>
      </c>
      <c r="P38" s="277">
        <f t="shared" si="56"/>
        <v>-191.80385288966724</v>
      </c>
      <c r="Q38" s="277">
        <f t="shared" si="56"/>
        <v>-257.31963470319636</v>
      </c>
      <c r="R38" s="277">
        <f t="shared" si="56"/>
        <v>-179.71745562130175</v>
      </c>
      <c r="S38" s="277">
        <f t="shared" si="56"/>
        <v>-117.10015408320494</v>
      </c>
      <c r="T38" s="277">
        <f t="shared" si="56"/>
        <v>-82.822429906542055</v>
      </c>
      <c r="U38" s="277">
        <f t="shared" ref="U38:AA38" ca="1" si="57">U7/U$131</f>
        <v>0.28631378436119087</v>
      </c>
      <c r="V38" s="277">
        <f t="shared" ca="1" si="57"/>
        <v>55.730496695974537</v>
      </c>
      <c r="W38" s="277">
        <f t="shared" ca="1" si="57"/>
        <v>111.20283532106298</v>
      </c>
      <c r="X38" s="277">
        <f t="shared" ca="1" si="57"/>
        <v>151.12785880028659</v>
      </c>
      <c r="Y38" s="277">
        <f t="shared" ca="1" si="57"/>
        <v>194.88208705205489</v>
      </c>
      <c r="Z38" s="277">
        <f t="shared" ca="1" si="57"/>
        <v>231.11609169516706</v>
      </c>
      <c r="AA38" s="277">
        <f t="shared" ca="1" si="57"/>
        <v>265.81447704850092</v>
      </c>
      <c r="AB38" s="277">
        <f t="shared" ref="AB38" ca="1" si="58">AB7/AB$131</f>
        <v>299.19345341978891</v>
      </c>
    </row>
    <row r="39" spans="2:28">
      <c r="B39" s="66" t="s">
        <v>137</v>
      </c>
      <c r="C39" s="277"/>
      <c r="D39" s="277"/>
      <c r="E39" s="283"/>
      <c r="F39" s="283"/>
      <c r="G39" s="277">
        <f>G11/G$131</f>
        <v>25</v>
      </c>
      <c r="H39" s="277">
        <f t="shared" ref="H39:T39" si="59">H11/H$131</f>
        <v>37.6</v>
      </c>
      <c r="I39" s="277">
        <f t="shared" si="59"/>
        <v>43.7</v>
      </c>
      <c r="J39" s="277">
        <f t="shared" si="59"/>
        <v>63.4</v>
      </c>
      <c r="K39" s="277">
        <f t="shared" si="59"/>
        <v>148.5</v>
      </c>
      <c r="L39" s="277">
        <f t="shared" si="59"/>
        <v>94</v>
      </c>
      <c r="M39" s="277">
        <f t="shared" si="59"/>
        <v>105.5</v>
      </c>
      <c r="N39" s="277">
        <f t="shared" si="59"/>
        <v>77.7</v>
      </c>
      <c r="O39" s="277">
        <f t="shared" si="59"/>
        <v>167.14133333333336</v>
      </c>
      <c r="P39" s="277">
        <f t="shared" si="59"/>
        <v>280</v>
      </c>
      <c r="Q39" s="277">
        <f t="shared" si="59"/>
        <v>240</v>
      </c>
      <c r="R39" s="277">
        <f t="shared" si="59"/>
        <v>155</v>
      </c>
      <c r="S39" s="277">
        <f t="shared" si="59"/>
        <v>159.99999999999997</v>
      </c>
      <c r="T39" s="277">
        <f t="shared" si="59"/>
        <v>161.71185410334343</v>
      </c>
      <c r="U39" s="277">
        <f t="shared" ref="U39:AA39" si="60">U11/U$131</f>
        <v>159.29101796407184</v>
      </c>
      <c r="V39" s="277">
        <f t="shared" si="60"/>
        <v>158.34285714285713</v>
      </c>
      <c r="W39" s="277">
        <f t="shared" si="60"/>
        <v>146.75679442508709</v>
      </c>
      <c r="X39" s="277">
        <f t="shared" si="60"/>
        <v>140.31381320642475</v>
      </c>
      <c r="Y39" s="277">
        <f t="shared" si="60"/>
        <v>134.15369457785002</v>
      </c>
      <c r="Z39" s="277">
        <f t="shared" si="60"/>
        <v>128.26402018174929</v>
      </c>
      <c r="AA39" s="277">
        <f t="shared" si="60"/>
        <v>122.63291685669688</v>
      </c>
      <c r="AB39" s="277">
        <f t="shared" ref="AB39" si="61">AB11/AB$131</f>
        <v>117.24903270201264</v>
      </c>
    </row>
    <row r="40" spans="2:28">
      <c r="B40" s="66" t="s">
        <v>177</v>
      </c>
      <c r="C40" s="277"/>
      <c r="D40" s="277"/>
      <c r="E40" s="283"/>
      <c r="F40" s="283"/>
      <c r="G40" s="277">
        <f>G38-G39</f>
        <v>1.3999999999999986</v>
      </c>
      <c r="H40" s="277">
        <f t="shared" ref="H40:T40" si="62">H38-H39</f>
        <v>-11.5</v>
      </c>
      <c r="I40" s="277">
        <f t="shared" si="62"/>
        <v>-7.9000000000000057</v>
      </c>
      <c r="J40" s="277">
        <f t="shared" si="62"/>
        <v>-20.799999999999997</v>
      </c>
      <c r="K40" s="277">
        <f t="shared" si="62"/>
        <v>-131.5</v>
      </c>
      <c r="L40" s="277">
        <f t="shared" si="62"/>
        <v>-71.900000000000006</v>
      </c>
      <c r="M40" s="277">
        <f t="shared" si="62"/>
        <v>-70.199999999999989</v>
      </c>
      <c r="N40" s="277">
        <f t="shared" si="62"/>
        <v>-92.300000000000011</v>
      </c>
      <c r="O40" s="277">
        <f t="shared" si="62"/>
        <v>-198.99625755464552</v>
      </c>
      <c r="P40" s="277">
        <f t="shared" si="62"/>
        <v>-471.80385288966727</v>
      </c>
      <c r="Q40" s="277">
        <f t="shared" si="62"/>
        <v>-497.31963470319636</v>
      </c>
      <c r="R40" s="277">
        <f t="shared" si="62"/>
        <v>-334.71745562130172</v>
      </c>
      <c r="S40" s="277">
        <f t="shared" si="62"/>
        <v>-277.10015408320493</v>
      </c>
      <c r="T40" s="277">
        <f t="shared" si="62"/>
        <v>-244.53428400988548</v>
      </c>
      <c r="U40" s="277">
        <f t="shared" ref="U40:AA40" ca="1" si="63">U38-U39</f>
        <v>-159.00470417971064</v>
      </c>
      <c r="V40" s="277">
        <f t="shared" ca="1" si="63"/>
        <v>-102.61236044688259</v>
      </c>
      <c r="W40" s="277">
        <f t="shared" ca="1" si="63"/>
        <v>-35.553959104024116</v>
      </c>
      <c r="X40" s="277">
        <f t="shared" ca="1" si="63"/>
        <v>10.814045593861835</v>
      </c>
      <c r="Y40" s="277">
        <f t="shared" ca="1" si="63"/>
        <v>60.728392474204867</v>
      </c>
      <c r="Z40" s="277">
        <f t="shared" ca="1" si="63"/>
        <v>102.85207151341777</v>
      </c>
      <c r="AA40" s="277">
        <f t="shared" ca="1" si="63"/>
        <v>143.18156019180404</v>
      </c>
      <c r="AB40" s="277">
        <f t="shared" ref="AB40" ca="1" si="64">AB38-AB39</f>
        <v>181.94442071777627</v>
      </c>
    </row>
    <row r="42" spans="2:28">
      <c r="B42" s="279" t="s">
        <v>777</v>
      </c>
      <c r="C42" s="279">
        <f t="shared" ref="C42:T42" si="65">C2</f>
        <v>2001</v>
      </c>
      <c r="D42" s="279">
        <f t="shared" si="65"/>
        <v>2002</v>
      </c>
      <c r="E42" s="279">
        <f t="shared" si="65"/>
        <v>2003</v>
      </c>
      <c r="F42" s="279">
        <f t="shared" si="65"/>
        <v>2004</v>
      </c>
      <c r="G42" s="279">
        <f t="shared" si="65"/>
        <v>2005</v>
      </c>
      <c r="H42" s="279">
        <f t="shared" si="65"/>
        <v>2006</v>
      </c>
      <c r="I42" s="279">
        <f t="shared" si="65"/>
        <v>2007</v>
      </c>
      <c r="J42" s="279">
        <f t="shared" si="65"/>
        <v>2008</v>
      </c>
      <c r="K42" s="279">
        <f t="shared" si="65"/>
        <v>2009</v>
      </c>
      <c r="L42" s="279">
        <f t="shared" si="65"/>
        <v>2010</v>
      </c>
      <c r="M42" s="279">
        <f t="shared" si="65"/>
        <v>2011</v>
      </c>
      <c r="N42" s="279">
        <f t="shared" si="65"/>
        <v>2012</v>
      </c>
      <c r="O42" s="279">
        <f t="shared" si="65"/>
        <v>2013</v>
      </c>
      <c r="P42" s="279">
        <f t="shared" si="65"/>
        <v>2014</v>
      </c>
      <c r="Q42" s="279">
        <f t="shared" si="65"/>
        <v>2015</v>
      </c>
      <c r="R42" s="279">
        <f t="shared" si="65"/>
        <v>2016</v>
      </c>
      <c r="S42" s="279">
        <f t="shared" si="65"/>
        <v>2017</v>
      </c>
      <c r="T42" s="279">
        <f t="shared" si="65"/>
        <v>2018</v>
      </c>
      <c r="U42" s="279">
        <f t="shared" ref="U42:AA42" si="66">U2</f>
        <v>2019</v>
      </c>
      <c r="V42" s="279">
        <f t="shared" si="66"/>
        <v>2020</v>
      </c>
      <c r="W42" s="279">
        <f t="shared" si="66"/>
        <v>2021</v>
      </c>
      <c r="X42" s="279">
        <f t="shared" si="66"/>
        <v>2022</v>
      </c>
      <c r="Y42" s="279">
        <f t="shared" si="66"/>
        <v>2023</v>
      </c>
      <c r="Z42" s="279">
        <f t="shared" si="66"/>
        <v>2024</v>
      </c>
      <c r="AA42" s="279">
        <f t="shared" si="66"/>
        <v>2025</v>
      </c>
      <c r="AB42" s="279">
        <f t="shared" ref="AB42" si="67">AB2</f>
        <v>2026</v>
      </c>
    </row>
    <row r="44" spans="2:28">
      <c r="B44" s="66" t="s">
        <v>62</v>
      </c>
      <c r="C44" s="276">
        <f>D44/(1+D45)</f>
        <v>26.426959473277449</v>
      </c>
      <c r="D44" s="276">
        <f>E44/(1+E45)</f>
        <v>26.691229068010223</v>
      </c>
      <c r="E44" s="276">
        <f>F44/(1+F45)</f>
        <v>26.958141358690327</v>
      </c>
      <c r="F44" s="276">
        <f>G44/(1+G45)</f>
        <v>27.227722772277229</v>
      </c>
      <c r="G44" s="298">
        <v>27.5</v>
      </c>
      <c r="H44" s="276">
        <f t="shared" ref="H44:AB44" si="68">G44*(1+H45)</f>
        <v>27.774999999999999</v>
      </c>
      <c r="I44" s="276">
        <f t="shared" si="68"/>
        <v>28.05275</v>
      </c>
      <c r="J44" s="276">
        <f t="shared" si="68"/>
        <v>28.333277500000001</v>
      </c>
      <c r="K44" s="276">
        <f t="shared" si="68"/>
        <v>28.616610275000003</v>
      </c>
      <c r="L44" s="276">
        <f t="shared" si="68"/>
        <v>28.902776377750005</v>
      </c>
      <c r="M44" s="276">
        <f t="shared" si="68"/>
        <v>29.191804141527506</v>
      </c>
      <c r="N44" s="276">
        <f t="shared" si="68"/>
        <v>29.483722182942781</v>
      </c>
      <c r="O44" s="276">
        <f t="shared" si="68"/>
        <v>29.77855940477221</v>
      </c>
      <c r="P44" s="276">
        <f t="shared" si="68"/>
        <v>30.076344998819934</v>
      </c>
      <c r="Q44" s="276">
        <f t="shared" si="68"/>
        <v>30.377108448808134</v>
      </c>
      <c r="R44" s="276">
        <f t="shared" si="68"/>
        <v>30.680879533296213</v>
      </c>
      <c r="S44" s="276">
        <f t="shared" si="68"/>
        <v>30.987688328629176</v>
      </c>
      <c r="T44" s="276">
        <f t="shared" si="68"/>
        <v>31.297565211915469</v>
      </c>
      <c r="U44" s="276">
        <f t="shared" si="68"/>
        <v>31.610540864034625</v>
      </c>
      <c r="V44" s="276">
        <f t="shared" si="68"/>
        <v>31.926646272674972</v>
      </c>
      <c r="W44" s="276">
        <f t="shared" si="68"/>
        <v>32.245912735401724</v>
      </c>
      <c r="X44" s="276">
        <f t="shared" si="68"/>
        <v>32.56837186275574</v>
      </c>
      <c r="Y44" s="276">
        <f t="shared" si="68"/>
        <v>32.894055581383299</v>
      </c>
      <c r="Z44" s="276">
        <f t="shared" si="68"/>
        <v>33.222996137197129</v>
      </c>
      <c r="AA44" s="276">
        <f t="shared" si="68"/>
        <v>33.555226098569101</v>
      </c>
      <c r="AB44" s="276">
        <f t="shared" si="68"/>
        <v>33.890778359554794</v>
      </c>
    </row>
    <row r="45" spans="2:28">
      <c r="B45" s="66" t="s">
        <v>63</v>
      </c>
      <c r="C45" s="25">
        <v>0.01</v>
      </c>
      <c r="D45" s="25">
        <v>0.01</v>
      </c>
      <c r="E45" s="25">
        <v>0.01</v>
      </c>
      <c r="F45" s="25">
        <v>0.01</v>
      </c>
      <c r="G45" s="25">
        <v>0.01</v>
      </c>
      <c r="H45" s="25">
        <v>0.01</v>
      </c>
      <c r="I45" s="25">
        <v>0.01</v>
      </c>
      <c r="J45" s="25">
        <v>0.01</v>
      </c>
      <c r="K45" s="25">
        <v>0.01</v>
      </c>
      <c r="L45" s="25">
        <v>0.01</v>
      </c>
      <c r="M45" s="25">
        <v>0.01</v>
      </c>
      <c r="N45" s="25">
        <v>0.01</v>
      </c>
      <c r="O45" s="25">
        <v>0.01</v>
      </c>
      <c r="P45" s="25">
        <v>0.01</v>
      </c>
      <c r="Q45" s="25">
        <v>0.01</v>
      </c>
      <c r="R45" s="25">
        <v>0.01</v>
      </c>
      <c r="S45" s="25">
        <v>0.01</v>
      </c>
      <c r="T45" s="25">
        <v>0.01</v>
      </c>
      <c r="U45" s="25">
        <v>0.01</v>
      </c>
      <c r="V45" s="25">
        <v>0.01</v>
      </c>
      <c r="W45" s="25">
        <v>0.01</v>
      </c>
      <c r="X45" s="25">
        <v>0.01</v>
      </c>
      <c r="Y45" s="25">
        <v>0.01</v>
      </c>
      <c r="Z45" s="25">
        <v>0.01</v>
      </c>
      <c r="AA45" s="25">
        <v>0.01</v>
      </c>
      <c r="AB45" s="25">
        <v>0.01</v>
      </c>
    </row>
    <row r="47" spans="2:28">
      <c r="B47" s="66" t="s">
        <v>776</v>
      </c>
      <c r="C47" s="281">
        <v>17</v>
      </c>
      <c r="D47" s="281">
        <v>17</v>
      </c>
      <c r="E47" s="281">
        <v>17</v>
      </c>
      <c r="F47" s="281">
        <v>17</v>
      </c>
      <c r="G47" s="281">
        <v>17</v>
      </c>
      <c r="H47" s="281">
        <v>17</v>
      </c>
      <c r="I47" s="281">
        <v>17</v>
      </c>
      <c r="J47" s="281">
        <v>17</v>
      </c>
      <c r="K47" s="281">
        <v>17</v>
      </c>
      <c r="L47" s="281">
        <v>17</v>
      </c>
      <c r="M47" s="281">
        <v>17</v>
      </c>
      <c r="N47" s="281">
        <v>17</v>
      </c>
      <c r="O47" s="281">
        <v>17</v>
      </c>
      <c r="P47" s="281">
        <v>17</v>
      </c>
      <c r="Q47" s="281">
        <v>17</v>
      </c>
      <c r="R47" s="281">
        <v>17</v>
      </c>
      <c r="S47" s="67">
        <f t="shared" ref="S47:AB47" si="69">(1+S48)*R47</f>
        <v>17.170000000000002</v>
      </c>
      <c r="T47" s="67">
        <f t="shared" si="69"/>
        <v>17.341700000000003</v>
      </c>
      <c r="U47" s="67">
        <f t="shared" si="69"/>
        <v>17.515117000000004</v>
      </c>
      <c r="V47" s="67">
        <f t="shared" si="69"/>
        <v>17.690268170000003</v>
      </c>
      <c r="W47" s="67">
        <f t="shared" si="69"/>
        <v>17.867170851700003</v>
      </c>
      <c r="X47" s="67">
        <f t="shared" si="69"/>
        <v>18.045842560217004</v>
      </c>
      <c r="Y47" s="67">
        <f t="shared" si="69"/>
        <v>18.226300985819176</v>
      </c>
      <c r="Z47" s="67">
        <f t="shared" si="69"/>
        <v>18.408563995677369</v>
      </c>
      <c r="AA47" s="67">
        <f t="shared" si="69"/>
        <v>18.592649635634142</v>
      </c>
      <c r="AB47" s="67">
        <f t="shared" si="69"/>
        <v>18.778576131990484</v>
      </c>
    </row>
    <row r="48" spans="2:28">
      <c r="B48" s="66" t="s">
        <v>63</v>
      </c>
      <c r="S48" s="111">
        <v>0.01</v>
      </c>
      <c r="T48" s="111">
        <v>0.01</v>
      </c>
      <c r="U48" s="111">
        <v>0.01</v>
      </c>
      <c r="V48" s="111">
        <v>0.01</v>
      </c>
      <c r="W48" s="111">
        <v>0.01</v>
      </c>
      <c r="X48" s="111">
        <v>0.01</v>
      </c>
      <c r="Y48" s="111">
        <v>0.01</v>
      </c>
      <c r="Z48" s="111">
        <v>0.01</v>
      </c>
      <c r="AA48" s="111">
        <v>0.01</v>
      </c>
      <c r="AB48" s="111">
        <v>0.01</v>
      </c>
    </row>
    <row r="50" spans="2:28">
      <c r="B50" s="66" t="s">
        <v>64</v>
      </c>
      <c r="C50" s="277">
        <f t="shared" ref="C50:J50" si="70">C65</f>
        <v>0</v>
      </c>
      <c r="D50" s="277">
        <f t="shared" si="70"/>
        <v>2306</v>
      </c>
      <c r="E50" s="277">
        <f t="shared" si="70"/>
        <v>2931</v>
      </c>
      <c r="F50" s="277">
        <f t="shared" si="70"/>
        <v>4089</v>
      </c>
      <c r="G50" s="277">
        <f t="shared" si="70"/>
        <v>5583</v>
      </c>
      <c r="H50" s="277">
        <f t="shared" si="70"/>
        <v>8773</v>
      </c>
      <c r="I50" s="277">
        <f t="shared" si="70"/>
        <v>14060</v>
      </c>
      <c r="J50" s="277">
        <f t="shared" si="70"/>
        <v>18447</v>
      </c>
      <c r="K50" s="277">
        <f t="shared" ref="K50:P50" si="71">K65</f>
        <v>20609.8</v>
      </c>
      <c r="L50" s="277">
        <f t="shared" si="71"/>
        <v>23321.3</v>
      </c>
      <c r="M50" s="277">
        <f t="shared" si="71"/>
        <v>26687.1</v>
      </c>
      <c r="N50" s="277">
        <f t="shared" si="71"/>
        <v>29737.4</v>
      </c>
      <c r="O50" s="277">
        <f t="shared" si="71"/>
        <v>29173</v>
      </c>
      <c r="P50" s="277">
        <f t="shared" si="71"/>
        <v>31026</v>
      </c>
      <c r="Q50" s="277">
        <f t="shared" ref="Q50:R50" si="72">Q65</f>
        <v>32000</v>
      </c>
      <c r="R50" s="277">
        <f t="shared" si="72"/>
        <v>32394</v>
      </c>
      <c r="S50" s="277">
        <f t="shared" ref="S50:V50" si="73">S51*S44*1000</f>
        <v>32717.94</v>
      </c>
      <c r="T50" s="277">
        <f t="shared" si="73"/>
        <v>33045.119399999996</v>
      </c>
      <c r="U50" s="277">
        <f t="shared" si="73"/>
        <v>33375.570594000004</v>
      </c>
      <c r="V50" s="277">
        <f t="shared" si="73"/>
        <v>33709.326299940003</v>
      </c>
      <c r="W50" s="277">
        <f t="shared" ref="W50:AA50" si="74">W51*W44*1000</f>
        <v>34046.419562939409</v>
      </c>
      <c r="X50" s="277">
        <f t="shared" si="74"/>
        <v>34386.883758568802</v>
      </c>
      <c r="Y50" s="277">
        <f t="shared" si="74"/>
        <v>34730.752596154489</v>
      </c>
      <c r="Z50" s="277">
        <f t="shared" si="74"/>
        <v>35078.060122116025</v>
      </c>
      <c r="AA50" s="277">
        <f t="shared" si="74"/>
        <v>35428.840723337191</v>
      </c>
      <c r="AB50" s="277">
        <f t="shared" ref="AB50" si="75">AB51*AB44*1000</f>
        <v>35783.129130570567</v>
      </c>
    </row>
    <row r="51" spans="2:28">
      <c r="B51" s="66" t="s">
        <v>65</v>
      </c>
      <c r="C51" s="68">
        <f t="shared" ref="C51:J51" si="76">C50/1000/C44</f>
        <v>0</v>
      </c>
      <c r="D51" s="68">
        <f t="shared" si="76"/>
        <v>8.6395422036363634E-2</v>
      </c>
      <c r="E51" s="68">
        <f t="shared" si="76"/>
        <v>0.10872411272727273</v>
      </c>
      <c r="F51" s="68">
        <f t="shared" si="76"/>
        <v>0.15017781818181819</v>
      </c>
      <c r="G51" s="68">
        <f t="shared" si="76"/>
        <v>0.20301818181818182</v>
      </c>
      <c r="H51" s="68">
        <f t="shared" si="76"/>
        <v>0.31585958595859587</v>
      </c>
      <c r="I51" s="68">
        <f t="shared" si="76"/>
        <v>0.50119863471495663</v>
      </c>
      <c r="J51" s="68">
        <f t="shared" si="76"/>
        <v>0.65107187122986387</v>
      </c>
      <c r="K51" s="68">
        <f t="shared" ref="K51:P51" si="77">K50/1000/K44</f>
        <v>0.72020409831716159</v>
      </c>
      <c r="L51" s="68">
        <f t="shared" si="77"/>
        <v>0.80688788146848245</v>
      </c>
      <c r="M51" s="68">
        <f t="shared" si="77"/>
        <v>0.91419837810009208</v>
      </c>
      <c r="N51" s="68">
        <f t="shared" si="77"/>
        <v>1.0086039956381077</v>
      </c>
      <c r="O51" s="68">
        <f t="shared" si="77"/>
        <v>0.97966458361732678</v>
      </c>
      <c r="P51" s="68">
        <f t="shared" si="77"/>
        <v>1.0315748140679104</v>
      </c>
      <c r="Q51" s="68">
        <f t="shared" ref="Q51:R51" si="78">Q50/1000/Q44</f>
        <v>1.0534248200063803</v>
      </c>
      <c r="R51" s="68">
        <f t="shared" si="78"/>
        <v>1.0558367456462463</v>
      </c>
      <c r="S51" s="68">
        <f t="shared" ref="S51:AB51" si="79">R51+S52</f>
        <v>1.0558367456462463</v>
      </c>
      <c r="T51" s="68">
        <f t="shared" si="79"/>
        <v>1.0558367456462463</v>
      </c>
      <c r="U51" s="68">
        <f t="shared" si="79"/>
        <v>1.0558367456462463</v>
      </c>
      <c r="V51" s="68">
        <f t="shared" si="79"/>
        <v>1.0558367456462463</v>
      </c>
      <c r="W51" s="68">
        <f t="shared" si="79"/>
        <v>1.0558367456462463</v>
      </c>
      <c r="X51" s="68">
        <f t="shared" si="79"/>
        <v>1.0558367456462463</v>
      </c>
      <c r="Y51" s="68">
        <f t="shared" si="79"/>
        <v>1.0558367456462463</v>
      </c>
      <c r="Z51" s="68">
        <f t="shared" si="79"/>
        <v>1.0558367456462463</v>
      </c>
      <c r="AA51" s="68">
        <f t="shared" si="79"/>
        <v>1.0558367456462463</v>
      </c>
      <c r="AB51" s="68">
        <f t="shared" si="79"/>
        <v>1.0558367456462463</v>
      </c>
    </row>
    <row r="52" spans="2:28">
      <c r="B52" s="66" t="s">
        <v>66</v>
      </c>
      <c r="C52" s="68"/>
      <c r="D52" s="68">
        <f t="shared" ref="D52:J52" si="80">D51-C51</f>
        <v>8.6395422036363634E-2</v>
      </c>
      <c r="E52" s="68">
        <f t="shared" si="80"/>
        <v>2.2328690690909092E-2</v>
      </c>
      <c r="F52" s="68">
        <f t="shared" si="80"/>
        <v>4.1453705454545464E-2</v>
      </c>
      <c r="G52" s="68">
        <f t="shared" si="80"/>
        <v>5.284036363636363E-2</v>
      </c>
      <c r="H52" s="68">
        <f t="shared" si="80"/>
        <v>0.11284140414041405</v>
      </c>
      <c r="I52" s="68">
        <f t="shared" si="80"/>
        <v>0.18533904875636076</v>
      </c>
      <c r="J52" s="68">
        <f t="shared" si="80"/>
        <v>0.14987323651490725</v>
      </c>
      <c r="K52" s="68">
        <f t="shared" ref="K52:R52" si="81">K51-J51</f>
        <v>6.9132227087297715E-2</v>
      </c>
      <c r="L52" s="68">
        <f t="shared" si="81"/>
        <v>8.6683783151320859E-2</v>
      </c>
      <c r="M52" s="68">
        <f t="shared" si="81"/>
        <v>0.10731049663160963</v>
      </c>
      <c r="N52" s="68">
        <f t="shared" si="81"/>
        <v>9.4405617538015574E-2</v>
      </c>
      <c r="O52" s="68">
        <f t="shared" si="81"/>
        <v>-2.8939412020780875E-2</v>
      </c>
      <c r="P52" s="68">
        <f t="shared" si="81"/>
        <v>5.1910230450583628E-2</v>
      </c>
      <c r="Q52" s="68">
        <f t="shared" si="81"/>
        <v>2.1850005938469863E-2</v>
      </c>
      <c r="R52" s="68">
        <f t="shared" si="81"/>
        <v>2.4119256398660305E-3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</row>
    <row r="54" spans="2:28">
      <c r="B54" s="66" t="s">
        <v>775</v>
      </c>
      <c r="C54" s="69">
        <f t="shared" ref="C54:I54" si="82">(D54-D51)+C51</f>
        <v>0.17446406438506801</v>
      </c>
      <c r="D54" s="69">
        <f t="shared" si="82"/>
        <v>0.26085948642143164</v>
      </c>
      <c r="E54" s="69">
        <f t="shared" si="82"/>
        <v>0.28318817711234073</v>
      </c>
      <c r="F54" s="69">
        <f t="shared" si="82"/>
        <v>0.3246418825668862</v>
      </c>
      <c r="G54" s="69">
        <f t="shared" si="82"/>
        <v>0.37748224620324983</v>
      </c>
      <c r="H54" s="69">
        <f t="shared" si="82"/>
        <v>0.49032365034366387</v>
      </c>
      <c r="I54" s="69">
        <f t="shared" si="82"/>
        <v>0.67566269910002463</v>
      </c>
      <c r="J54" s="280">
        <f>J51+(100%-J51)/2</f>
        <v>0.82553593561493188</v>
      </c>
      <c r="K54" s="69">
        <f t="shared" ref="K54:AB54" si="83">K51+(J54-J51)</f>
        <v>0.8946681627022296</v>
      </c>
      <c r="L54" s="69">
        <f t="shared" si="83"/>
        <v>0.98135194585355046</v>
      </c>
      <c r="M54" s="69">
        <f t="shared" si="83"/>
        <v>1.0886624424851601</v>
      </c>
      <c r="N54" s="69">
        <f t="shared" si="83"/>
        <v>1.1830680600231758</v>
      </c>
      <c r="O54" s="69">
        <f t="shared" si="83"/>
        <v>1.1541286480023949</v>
      </c>
      <c r="P54" s="69">
        <f t="shared" si="83"/>
        <v>1.2060388784529785</v>
      </c>
      <c r="Q54" s="69">
        <f t="shared" si="83"/>
        <v>1.2278888843914484</v>
      </c>
      <c r="R54" s="69">
        <f t="shared" si="83"/>
        <v>1.2303008100313144</v>
      </c>
      <c r="S54" s="69">
        <f t="shared" si="83"/>
        <v>1.2303008100313144</v>
      </c>
      <c r="T54" s="69">
        <f t="shared" si="83"/>
        <v>1.2303008100313144</v>
      </c>
      <c r="U54" s="69">
        <f t="shared" si="83"/>
        <v>1.2303008100313144</v>
      </c>
      <c r="V54" s="69">
        <f t="shared" si="83"/>
        <v>1.2303008100313144</v>
      </c>
      <c r="W54" s="69">
        <f t="shared" si="83"/>
        <v>1.2303008100313144</v>
      </c>
      <c r="X54" s="69">
        <f t="shared" si="83"/>
        <v>1.2303008100313144</v>
      </c>
      <c r="Y54" s="69">
        <f t="shared" si="83"/>
        <v>1.2303008100313144</v>
      </c>
      <c r="Z54" s="69">
        <f t="shared" si="83"/>
        <v>1.2303008100313144</v>
      </c>
      <c r="AA54" s="69">
        <f t="shared" si="83"/>
        <v>1.2303008100313144</v>
      </c>
      <c r="AB54" s="69">
        <f t="shared" si="83"/>
        <v>1.2303008100313144</v>
      </c>
    </row>
    <row r="55" spans="2:28">
      <c r="B55" s="66" t="s">
        <v>774</v>
      </c>
      <c r="C55" s="277">
        <f t="shared" ref="C55:T55" si="84">C54*C47</f>
        <v>2.965889094546156</v>
      </c>
      <c r="D55" s="277">
        <f t="shared" si="84"/>
        <v>4.4346112691643382</v>
      </c>
      <c r="E55" s="277">
        <f t="shared" si="84"/>
        <v>4.8141990109097925</v>
      </c>
      <c r="F55" s="277">
        <f t="shared" si="84"/>
        <v>5.5189120036370651</v>
      </c>
      <c r="G55" s="277">
        <f t="shared" si="84"/>
        <v>6.4171981854552467</v>
      </c>
      <c r="H55" s="277">
        <f t="shared" si="84"/>
        <v>8.3355020558422854</v>
      </c>
      <c r="I55" s="277">
        <f t="shared" si="84"/>
        <v>11.486265884700419</v>
      </c>
      <c r="J55" s="277">
        <f t="shared" si="84"/>
        <v>14.034110905453842</v>
      </c>
      <c r="K55" s="277">
        <f t="shared" si="84"/>
        <v>15.209358765937903</v>
      </c>
      <c r="L55" s="277">
        <f t="shared" si="84"/>
        <v>16.682983079510358</v>
      </c>
      <c r="M55" s="277">
        <f t="shared" si="84"/>
        <v>18.50726152224772</v>
      </c>
      <c r="N55" s="277">
        <f t="shared" si="84"/>
        <v>20.112157020393987</v>
      </c>
      <c r="O55" s="277">
        <f>O54*O47</f>
        <v>19.620187016040713</v>
      </c>
      <c r="P55" s="277">
        <f>P54*P47</f>
        <v>20.502660933700636</v>
      </c>
      <c r="Q55" s="277">
        <f>Q54*Q47</f>
        <v>20.874111034654621</v>
      </c>
      <c r="R55" s="277">
        <f>R54*R47</f>
        <v>20.915113770532344</v>
      </c>
      <c r="S55" s="277">
        <f t="shared" si="84"/>
        <v>21.12426490823767</v>
      </c>
      <c r="T55" s="277">
        <f t="shared" si="84"/>
        <v>21.335507557320049</v>
      </c>
      <c r="U55" s="277">
        <f t="shared" ref="U55:AA55" si="85">U54*U47</f>
        <v>21.54886263289325</v>
      </c>
      <c r="V55" s="277">
        <f t="shared" si="85"/>
        <v>21.764351259222181</v>
      </c>
      <c r="W55" s="277">
        <f t="shared" si="85"/>
        <v>21.981994771814403</v>
      </c>
      <c r="X55" s="277">
        <f t="shared" si="85"/>
        <v>22.20181471953255</v>
      </c>
      <c r="Y55" s="277">
        <f t="shared" si="85"/>
        <v>22.423832866727878</v>
      </c>
      <c r="Z55" s="277">
        <f t="shared" si="85"/>
        <v>22.648071195395158</v>
      </c>
      <c r="AA55" s="277">
        <f t="shared" si="85"/>
        <v>22.874551907349108</v>
      </c>
      <c r="AB55" s="277">
        <f t="shared" ref="AB55" si="86">AB54*AB47</f>
        <v>23.1032974264226</v>
      </c>
    </row>
    <row r="56" spans="2:28">
      <c r="B56" s="66" t="s">
        <v>773</v>
      </c>
      <c r="C56" s="290">
        <v>0.35</v>
      </c>
      <c r="D56" s="290">
        <v>0.35</v>
      </c>
      <c r="E56" s="290">
        <v>0.35</v>
      </c>
      <c r="F56" s="290">
        <v>0.35</v>
      </c>
      <c r="G56" s="290">
        <v>0.35</v>
      </c>
      <c r="H56" s="290">
        <v>0.35</v>
      </c>
      <c r="I56" s="290">
        <v>0.35</v>
      </c>
      <c r="J56" s="290">
        <v>0.35</v>
      </c>
      <c r="K56" s="291">
        <f t="shared" ref="K56:T56" si="87">K57/K55</f>
        <v>0.32295502344973082</v>
      </c>
      <c r="L56" s="291">
        <f t="shared" si="87"/>
        <v>0.29442808839994394</v>
      </c>
      <c r="M56" s="291">
        <f t="shared" si="87"/>
        <v>0.26540603054666762</v>
      </c>
      <c r="N56" s="291">
        <f t="shared" si="87"/>
        <v>0.24422735025030262</v>
      </c>
      <c r="O56" s="291">
        <f>O57/O55</f>
        <v>0.25035127406752195</v>
      </c>
      <c r="P56" s="291">
        <f>P57/P55</f>
        <v>0.23957567424016618</v>
      </c>
      <c r="Q56" s="291">
        <f>Q57/Q55</f>
        <v>0.23531247911607731</v>
      </c>
      <c r="R56" s="291">
        <f>R57/R55</f>
        <v>0.23485116412942292</v>
      </c>
      <c r="S56" s="291">
        <f t="shared" si="87"/>
        <v>0.23252590507863652</v>
      </c>
      <c r="T56" s="291">
        <f t="shared" si="87"/>
        <v>0.23022366839468958</v>
      </c>
      <c r="U56" s="291">
        <f t="shared" ref="U56:AA56" si="88">U57/U55</f>
        <v>0.22794422613335602</v>
      </c>
      <c r="V56" s="291">
        <f t="shared" si="88"/>
        <v>0.2256873526072832</v>
      </c>
      <c r="W56" s="291">
        <f t="shared" si="88"/>
        <v>0.22345282436364675</v>
      </c>
      <c r="X56" s="291">
        <f t="shared" si="88"/>
        <v>0.22124042016202644</v>
      </c>
      <c r="Y56" s="291">
        <f t="shared" si="88"/>
        <v>0.21904992095250142</v>
      </c>
      <c r="Z56" s="291">
        <f t="shared" si="88"/>
        <v>0.21688110985396178</v>
      </c>
      <c r="AA56" s="291">
        <f t="shared" si="88"/>
        <v>0.21473377213263545</v>
      </c>
      <c r="AB56" s="291">
        <f t="shared" ref="AB56" si="89">AB57/AB55</f>
        <v>0.21260769518082717</v>
      </c>
    </row>
    <row r="57" spans="2:28">
      <c r="B57" s="66" t="s">
        <v>772</v>
      </c>
      <c r="C57" s="277">
        <f t="shared" ref="C57:J57" si="90">C56*C55</f>
        <v>1.0380611830911546</v>
      </c>
      <c r="D57" s="277">
        <f t="shared" si="90"/>
        <v>1.5521139442075182</v>
      </c>
      <c r="E57" s="277">
        <f t="shared" si="90"/>
        <v>1.6849696538184273</v>
      </c>
      <c r="F57" s="277">
        <f t="shared" si="90"/>
        <v>1.9316192012729727</v>
      </c>
      <c r="G57" s="277">
        <f t="shared" si="90"/>
        <v>2.2460193649093361</v>
      </c>
      <c r="H57" s="277">
        <f t="shared" si="90"/>
        <v>2.9174257195447999</v>
      </c>
      <c r="I57" s="277">
        <f t="shared" si="90"/>
        <v>4.0201930596451465</v>
      </c>
      <c r="J57" s="277">
        <f t="shared" si="90"/>
        <v>4.9119388169088447</v>
      </c>
      <c r="K57" s="278">
        <f t="shared" ref="K57:AB57" si="91">J57</f>
        <v>4.9119388169088447</v>
      </c>
      <c r="L57" s="278">
        <f t="shared" si="91"/>
        <v>4.9119388169088447</v>
      </c>
      <c r="M57" s="278">
        <f t="shared" si="91"/>
        <v>4.9119388169088447</v>
      </c>
      <c r="N57" s="278">
        <f t="shared" si="91"/>
        <v>4.9119388169088447</v>
      </c>
      <c r="O57" s="278">
        <f t="shared" si="91"/>
        <v>4.9119388169088447</v>
      </c>
      <c r="P57" s="278">
        <f t="shared" si="91"/>
        <v>4.9119388169088447</v>
      </c>
      <c r="Q57" s="278">
        <f t="shared" si="91"/>
        <v>4.9119388169088447</v>
      </c>
      <c r="R57" s="278">
        <f t="shared" si="91"/>
        <v>4.9119388169088447</v>
      </c>
      <c r="S57" s="278">
        <f t="shared" si="91"/>
        <v>4.9119388169088447</v>
      </c>
      <c r="T57" s="278">
        <f t="shared" si="91"/>
        <v>4.9119388169088447</v>
      </c>
      <c r="U57" s="278">
        <f t="shared" si="91"/>
        <v>4.9119388169088447</v>
      </c>
      <c r="V57" s="278">
        <f t="shared" si="91"/>
        <v>4.9119388169088447</v>
      </c>
      <c r="W57" s="278">
        <f t="shared" si="91"/>
        <v>4.9119388169088447</v>
      </c>
      <c r="X57" s="278">
        <f t="shared" si="91"/>
        <v>4.9119388169088447</v>
      </c>
      <c r="Y57" s="278">
        <f t="shared" si="91"/>
        <v>4.9119388169088447</v>
      </c>
      <c r="Z57" s="278">
        <f t="shared" si="91"/>
        <v>4.9119388169088447</v>
      </c>
      <c r="AA57" s="278">
        <f t="shared" si="91"/>
        <v>4.9119388169088447</v>
      </c>
      <c r="AB57" s="278">
        <f t="shared" si="91"/>
        <v>4.9119388169088447</v>
      </c>
    </row>
    <row r="58" spans="2:28">
      <c r="B58" s="66" t="s">
        <v>771</v>
      </c>
      <c r="C58" s="69">
        <f t="shared" ref="C58:T58" si="92">C62/(C57*1000)</f>
        <v>0</v>
      </c>
      <c r="D58" s="69">
        <f t="shared" si="92"/>
        <v>8.3756737374314161E-2</v>
      </c>
      <c r="E58" s="69">
        <f t="shared" si="92"/>
        <v>8.7241927275588049E-2</v>
      </c>
      <c r="F58" s="69">
        <f t="shared" si="92"/>
        <v>9.5774570825389177E-2</v>
      </c>
      <c r="G58" s="69">
        <f t="shared" si="92"/>
        <v>0.11086280193761876</v>
      </c>
      <c r="H58" s="69">
        <f t="shared" si="92"/>
        <v>0.11825493882799856</v>
      </c>
      <c r="I58" s="69">
        <f t="shared" si="92"/>
        <v>0.11840227395497654</v>
      </c>
      <c r="J58" s="69">
        <f t="shared" si="92"/>
        <v>0.13619876487407301</v>
      </c>
      <c r="K58" s="69">
        <f t="shared" si="92"/>
        <v>0.1711340534426693</v>
      </c>
      <c r="L58" s="69">
        <f t="shared" si="92"/>
        <v>0.22968527134668038</v>
      </c>
      <c r="M58" s="69">
        <f t="shared" si="92"/>
        <v>0.29210461560735418</v>
      </c>
      <c r="N58" s="69">
        <f t="shared" si="92"/>
        <v>0.3378502994148343</v>
      </c>
      <c r="O58" s="69">
        <f>O62/(O57*1000)</f>
        <v>0.31677919005090821</v>
      </c>
      <c r="P58" s="69">
        <f>P62/(P57*1000)</f>
        <v>0.3538317688357831</v>
      </c>
      <c r="Q58" s="69">
        <f t="shared" si="92"/>
        <v>0.637019335263041</v>
      </c>
      <c r="R58" s="69">
        <f t="shared" si="92"/>
        <v>0.98128258100602672</v>
      </c>
      <c r="S58" s="69">
        <f t="shared" si="92"/>
        <v>1.3320605658760234</v>
      </c>
      <c r="T58" s="69">
        <f t="shared" si="92"/>
        <v>1.5910214461747092</v>
      </c>
      <c r="U58" s="69">
        <f t="shared" ref="U58:AA58" si="93">U62/(U57*1000)</f>
        <v>1.6328645819579732</v>
      </c>
      <c r="V58" s="69">
        <f t="shared" si="93"/>
        <v>1.668619815545507</v>
      </c>
      <c r="W58" s="69">
        <f t="shared" si="93"/>
        <v>1.6998528513037447</v>
      </c>
      <c r="X58" s="69">
        <f t="shared" si="93"/>
        <v>1.7277384047956852</v>
      </c>
      <c r="Y58" s="69">
        <f t="shared" si="93"/>
        <v>1.7531579543546363</v>
      </c>
      <c r="Z58" s="69">
        <f t="shared" si="93"/>
        <v>1.7767730548082448</v>
      </c>
      <c r="AA58" s="69">
        <f t="shared" si="93"/>
        <v>1.7990803228156904</v>
      </c>
      <c r="AB58" s="69">
        <f t="shared" ref="AB58" si="94">AB62/(AB57*1000)</f>
        <v>1.8204526759151864</v>
      </c>
    </row>
    <row r="60" spans="2:28">
      <c r="B60" s="66" t="s">
        <v>770</v>
      </c>
      <c r="C60" s="278"/>
      <c r="D60" s="278">
        <v>388</v>
      </c>
      <c r="E60" s="278">
        <v>627</v>
      </c>
      <c r="F60" s="278">
        <v>1101</v>
      </c>
      <c r="G60" s="278">
        <v>1950</v>
      </c>
      <c r="H60" s="278">
        <v>3369</v>
      </c>
      <c r="I60" s="278">
        <v>5455</v>
      </c>
      <c r="J60" s="278">
        <v>7178</v>
      </c>
      <c r="K60" s="267">
        <v>8311</v>
      </c>
      <c r="L60" s="267">
        <v>9686</v>
      </c>
      <c r="M60" s="267">
        <v>11254</v>
      </c>
      <c r="N60" s="267">
        <v>12881</v>
      </c>
      <c r="O60" s="267">
        <v>11855</v>
      </c>
      <c r="P60" s="267">
        <v>12498</v>
      </c>
      <c r="Q60" s="267">
        <v>12084</v>
      </c>
      <c r="R60" s="267">
        <v>12075</v>
      </c>
      <c r="S60" s="67">
        <f t="shared" ref="S60:AB60" si="95">R60+S107-S99</f>
        <v>12160.001651542434</v>
      </c>
      <c r="T60" s="67">
        <f t="shared" si="95"/>
        <v>12068.25077608139</v>
      </c>
      <c r="U60" s="67">
        <f t="shared" si="95"/>
        <v>11888.56782943828</v>
      </c>
      <c r="V60" s="67">
        <f t="shared" si="95"/>
        <v>11607.56947759693</v>
      </c>
      <c r="W60" s="67">
        <f t="shared" si="95"/>
        <v>11247.395759296924</v>
      </c>
      <c r="X60" s="67">
        <f t="shared" si="95"/>
        <v>10824.602460170638</v>
      </c>
      <c r="Y60" s="67">
        <f t="shared" si="95"/>
        <v>10351.556510032857</v>
      </c>
      <c r="Z60" s="67">
        <f t="shared" si="95"/>
        <v>9837.4825224525775</v>
      </c>
      <c r="AA60" s="67">
        <f t="shared" si="95"/>
        <v>9289.247690935159</v>
      </c>
      <c r="AB60" s="67">
        <f t="shared" si="95"/>
        <v>8711.9504524597105</v>
      </c>
    </row>
    <row r="61" spans="2:28">
      <c r="B61" s="66" t="s">
        <v>769</v>
      </c>
      <c r="C61" s="278"/>
      <c r="D61" s="278">
        <v>1788</v>
      </c>
      <c r="E61" s="278">
        <v>2157</v>
      </c>
      <c r="F61" s="278">
        <v>2803</v>
      </c>
      <c r="G61" s="278">
        <v>3384</v>
      </c>
      <c r="H61" s="278">
        <v>5059</v>
      </c>
      <c r="I61" s="278">
        <v>8129</v>
      </c>
      <c r="J61" s="278">
        <v>10600</v>
      </c>
      <c r="K61" s="267">
        <v>11458.2</v>
      </c>
      <c r="L61" s="267">
        <v>12507.1</v>
      </c>
      <c r="M61" s="267">
        <v>13998.3</v>
      </c>
      <c r="N61" s="267">
        <v>15196.9</v>
      </c>
      <c r="O61" s="267">
        <v>15762</v>
      </c>
      <c r="P61" s="267">
        <v>16790</v>
      </c>
      <c r="Q61" s="267">
        <v>16787</v>
      </c>
      <c r="R61" s="267">
        <v>15499</v>
      </c>
      <c r="S61" s="67">
        <f t="shared" ref="S61:AB61" si="96">R61+S108-S100</f>
        <v>13826.635548457565</v>
      </c>
      <c r="T61" s="67">
        <f t="shared" si="96"/>
        <v>13343.439213918609</v>
      </c>
      <c r="U61" s="67">
        <f t="shared" si="96"/>
        <v>13648.042431686725</v>
      </c>
      <c r="V61" s="67">
        <f t="shared" si="96"/>
        <v>14087.168969701823</v>
      </c>
      <c r="W61" s="67">
        <f t="shared" si="96"/>
        <v>14631.021190290443</v>
      </c>
      <c r="X61" s="67">
        <f t="shared" si="96"/>
        <v>15257.306552418071</v>
      </c>
      <c r="Y61" s="67">
        <f t="shared" si="96"/>
        <v>15949.362067954593</v>
      </c>
      <c r="Z61" s="67">
        <f t="shared" si="96"/>
        <v>16694.747652913131</v>
      </c>
      <c r="AA61" s="67">
        <f t="shared" si="96"/>
        <v>17484.191150026752</v>
      </c>
      <c r="AB61" s="67">
        <f t="shared" si="96"/>
        <v>18310.797104937483</v>
      </c>
    </row>
    <row r="62" spans="2:28">
      <c r="B62" s="66" t="s">
        <v>67</v>
      </c>
      <c r="C62" s="278"/>
      <c r="D62" s="297">
        <v>130</v>
      </c>
      <c r="E62" s="297">
        <v>147</v>
      </c>
      <c r="F62" s="297">
        <v>185</v>
      </c>
      <c r="G62" s="297">
        <v>249</v>
      </c>
      <c r="H62" s="297">
        <v>345</v>
      </c>
      <c r="I62" s="297">
        <v>476</v>
      </c>
      <c r="J62" s="297">
        <v>669</v>
      </c>
      <c r="K62" s="300">
        <v>840.6</v>
      </c>
      <c r="L62" s="300">
        <v>1128.2</v>
      </c>
      <c r="M62" s="300">
        <v>1434.8</v>
      </c>
      <c r="N62" s="300">
        <v>1659.5</v>
      </c>
      <c r="O62" s="300">
        <v>1556</v>
      </c>
      <c r="P62" s="300">
        <v>1738</v>
      </c>
      <c r="Q62" s="300">
        <v>3129</v>
      </c>
      <c r="R62" s="300">
        <v>4820</v>
      </c>
      <c r="S62" s="300">
        <v>6543</v>
      </c>
      <c r="T62" s="300">
        <v>7815</v>
      </c>
      <c r="U62" s="67">
        <f>T62+U109-U101</f>
        <v>8020.5309228750011</v>
      </c>
      <c r="V62" s="67">
        <f t="shared" ref="V62:AB62" si="97">U62+V109-V101</f>
        <v>8196.1584426412519</v>
      </c>
      <c r="W62" s="67">
        <f t="shared" si="97"/>
        <v>8349.5732033520417</v>
      </c>
      <c r="X62" s="67">
        <f t="shared" si="97"/>
        <v>8486.5453359800922</v>
      </c>
      <c r="Y62" s="67">
        <f t="shared" si="97"/>
        <v>8611.4046081670422</v>
      </c>
      <c r="Z62" s="67">
        <f t="shared" si="97"/>
        <v>8727.4005367503232</v>
      </c>
      <c r="AA62" s="67">
        <f t="shared" si="97"/>
        <v>8836.9724723752843</v>
      </c>
      <c r="AB62" s="67">
        <f t="shared" si="97"/>
        <v>8941.9521631733805</v>
      </c>
    </row>
    <row r="63" spans="2:28"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</row>
    <row r="64" spans="2:28">
      <c r="B64" s="113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</row>
    <row r="65" spans="2:28">
      <c r="B65" s="70" t="s">
        <v>68</v>
      </c>
      <c r="C65" s="71">
        <f t="shared" ref="C65:J65" si="98">SUM(C60:C64)</f>
        <v>0</v>
      </c>
      <c r="D65" s="71">
        <f t="shared" si="98"/>
        <v>2306</v>
      </c>
      <c r="E65" s="71">
        <f t="shared" si="98"/>
        <v>2931</v>
      </c>
      <c r="F65" s="71">
        <f t="shared" si="98"/>
        <v>4089</v>
      </c>
      <c r="G65" s="71">
        <f t="shared" si="98"/>
        <v>5583</v>
      </c>
      <c r="H65" s="71">
        <f t="shared" si="98"/>
        <v>8773</v>
      </c>
      <c r="I65" s="71">
        <f t="shared" si="98"/>
        <v>14060</v>
      </c>
      <c r="J65" s="71">
        <f t="shared" si="98"/>
        <v>18447</v>
      </c>
      <c r="K65" s="71">
        <f t="shared" ref="K65:R65" si="99">SUM(K60:K64)</f>
        <v>20609.8</v>
      </c>
      <c r="L65" s="71">
        <f t="shared" si="99"/>
        <v>23321.3</v>
      </c>
      <c r="M65" s="71">
        <f t="shared" si="99"/>
        <v>26687.1</v>
      </c>
      <c r="N65" s="71">
        <f t="shared" si="99"/>
        <v>29737.4</v>
      </c>
      <c r="O65" s="71">
        <f t="shared" si="99"/>
        <v>29173</v>
      </c>
      <c r="P65" s="71">
        <f t="shared" si="99"/>
        <v>31026</v>
      </c>
      <c r="Q65" s="71">
        <f t="shared" si="99"/>
        <v>32000</v>
      </c>
      <c r="R65" s="71">
        <f t="shared" si="99"/>
        <v>32394</v>
      </c>
      <c r="S65" s="71">
        <f t="shared" ref="S65:V65" si="100">S50</f>
        <v>32717.94</v>
      </c>
      <c r="T65" s="71">
        <f t="shared" si="100"/>
        <v>33045.119399999996</v>
      </c>
      <c r="U65" s="71">
        <f t="shared" si="100"/>
        <v>33375.570594000004</v>
      </c>
      <c r="V65" s="71">
        <f t="shared" si="100"/>
        <v>33709.326299940003</v>
      </c>
      <c r="W65" s="71">
        <f t="shared" ref="W65:AA65" si="101">W50</f>
        <v>34046.419562939409</v>
      </c>
      <c r="X65" s="71">
        <f t="shared" si="101"/>
        <v>34386.883758568802</v>
      </c>
      <c r="Y65" s="71">
        <f t="shared" si="101"/>
        <v>34730.752596154489</v>
      </c>
      <c r="Z65" s="71">
        <f t="shared" si="101"/>
        <v>35078.060122116025</v>
      </c>
      <c r="AA65" s="71">
        <f t="shared" si="101"/>
        <v>35428.840723337191</v>
      </c>
      <c r="AB65" s="71">
        <f t="shared" ref="AB65" si="102">AB50</f>
        <v>35783.129130570567</v>
      </c>
    </row>
    <row r="66" spans="2:28">
      <c r="B66" s="66" t="s">
        <v>63</v>
      </c>
      <c r="C66" s="68"/>
      <c r="D66" s="68" t="e">
        <f t="shared" ref="D66:AB66" si="103">D65/C65-1</f>
        <v>#DIV/0!</v>
      </c>
      <c r="E66" s="68">
        <f t="shared" si="103"/>
        <v>0.2710320901994796</v>
      </c>
      <c r="F66" s="68">
        <f t="shared" si="103"/>
        <v>0.39508700102354144</v>
      </c>
      <c r="G66" s="68">
        <f t="shared" si="103"/>
        <v>0.36537050623624356</v>
      </c>
      <c r="H66" s="68">
        <f t="shared" si="103"/>
        <v>0.5713773956654129</v>
      </c>
      <c r="I66" s="68">
        <f t="shared" si="103"/>
        <v>0.60264447737376048</v>
      </c>
      <c r="J66" s="68">
        <f t="shared" si="103"/>
        <v>0.3120199146514937</v>
      </c>
      <c r="K66" s="68">
        <f t="shared" si="103"/>
        <v>0.1172439963137637</v>
      </c>
      <c r="L66" s="68">
        <f t="shared" si="103"/>
        <v>0.13156362507156794</v>
      </c>
      <c r="M66" s="68">
        <f t="shared" si="103"/>
        <v>0.144323000861873</v>
      </c>
      <c r="N66" s="68">
        <f t="shared" si="103"/>
        <v>0.11429866864515081</v>
      </c>
      <c r="O66" s="68">
        <f t="shared" si="103"/>
        <v>-1.897946693389474E-2</v>
      </c>
      <c r="P66" s="68">
        <f t="shared" si="103"/>
        <v>6.3517636170431491E-2</v>
      </c>
      <c r="Q66" s="68">
        <f t="shared" si="103"/>
        <v>3.1393025204667024E-2</v>
      </c>
      <c r="R66" s="68">
        <f t="shared" si="103"/>
        <v>1.2312499999999948E-2</v>
      </c>
      <c r="S66" s="68">
        <f t="shared" si="103"/>
        <v>1.0000000000000009E-2</v>
      </c>
      <c r="T66" s="68">
        <f t="shared" si="103"/>
        <v>1.0000000000000009E-2</v>
      </c>
      <c r="U66" s="68">
        <f t="shared" si="103"/>
        <v>1.0000000000000231E-2</v>
      </c>
      <c r="V66" s="68">
        <f t="shared" si="103"/>
        <v>1.0000000000000009E-2</v>
      </c>
      <c r="W66" s="68">
        <f t="shared" si="103"/>
        <v>1.0000000000000231E-2</v>
      </c>
      <c r="X66" s="68">
        <f t="shared" si="103"/>
        <v>1.0000000000000009E-2</v>
      </c>
      <c r="Y66" s="68">
        <f t="shared" si="103"/>
        <v>1.0000000000000009E-2</v>
      </c>
      <c r="Z66" s="68">
        <f t="shared" si="103"/>
        <v>9.9999999999997868E-3</v>
      </c>
      <c r="AA66" s="68">
        <f t="shared" si="103"/>
        <v>1.0000000000000231E-2</v>
      </c>
      <c r="AB66" s="68">
        <f t="shared" si="103"/>
        <v>1.0000000000000231E-2</v>
      </c>
    </row>
    <row r="67" spans="2:28">
      <c r="B67" s="66" t="s">
        <v>69</v>
      </c>
      <c r="C67" s="277"/>
      <c r="D67" s="277">
        <f t="shared" ref="D67:AB67" si="104">D65-C65</f>
        <v>2306</v>
      </c>
      <c r="E67" s="277">
        <f t="shared" si="104"/>
        <v>625</v>
      </c>
      <c r="F67" s="277">
        <f t="shared" si="104"/>
        <v>1158</v>
      </c>
      <c r="G67" s="277">
        <f t="shared" si="104"/>
        <v>1494</v>
      </c>
      <c r="H67" s="277">
        <f t="shared" si="104"/>
        <v>3190</v>
      </c>
      <c r="I67" s="277">
        <f t="shared" si="104"/>
        <v>5287</v>
      </c>
      <c r="J67" s="277">
        <f t="shared" si="104"/>
        <v>4387</v>
      </c>
      <c r="K67" s="277">
        <f t="shared" si="104"/>
        <v>2162.7999999999993</v>
      </c>
      <c r="L67" s="277">
        <f t="shared" si="104"/>
        <v>2711.5</v>
      </c>
      <c r="M67" s="277">
        <f t="shared" si="104"/>
        <v>3365.7999999999993</v>
      </c>
      <c r="N67" s="277">
        <f t="shared" si="104"/>
        <v>3050.3000000000029</v>
      </c>
      <c r="O67" s="277">
        <f t="shared" si="104"/>
        <v>-564.40000000000146</v>
      </c>
      <c r="P67" s="277">
        <f t="shared" si="104"/>
        <v>1853</v>
      </c>
      <c r="Q67" s="277">
        <f t="shared" si="104"/>
        <v>974</v>
      </c>
      <c r="R67" s="277">
        <f t="shared" si="104"/>
        <v>394</v>
      </c>
      <c r="S67" s="277">
        <f t="shared" si="104"/>
        <v>323.93999999999869</v>
      </c>
      <c r="T67" s="277">
        <f t="shared" si="104"/>
        <v>327.17939999999726</v>
      </c>
      <c r="U67" s="277">
        <f t="shared" si="104"/>
        <v>330.4511940000084</v>
      </c>
      <c r="V67" s="277">
        <f t="shared" si="104"/>
        <v>333.75570593999873</v>
      </c>
      <c r="W67" s="277">
        <f t="shared" si="104"/>
        <v>337.09326299940585</v>
      </c>
      <c r="X67" s="277">
        <f t="shared" si="104"/>
        <v>340.46419562939263</v>
      </c>
      <c r="Y67" s="277">
        <f t="shared" si="104"/>
        <v>343.86883758568729</v>
      </c>
      <c r="Z67" s="277">
        <f t="shared" si="104"/>
        <v>347.30752596153616</v>
      </c>
      <c r="AA67" s="277">
        <f t="shared" si="104"/>
        <v>350.78060122116585</v>
      </c>
      <c r="AB67" s="277">
        <f t="shared" si="104"/>
        <v>354.28840723337635</v>
      </c>
    </row>
    <row r="69" spans="2:28">
      <c r="B69" s="70" t="s">
        <v>70</v>
      </c>
    </row>
    <row r="70" spans="2:28">
      <c r="B70" s="66" t="str">
        <f>B60</f>
        <v>AMX (Claro)</v>
      </c>
      <c r="C70" s="69"/>
      <c r="D70" s="69">
        <f t="shared" ref="D70:T70" si="105">D60/D$65</f>
        <v>0.16825672159583693</v>
      </c>
      <c r="E70" s="69">
        <f t="shared" si="105"/>
        <v>0.21392016376663256</v>
      </c>
      <c r="F70" s="69">
        <f t="shared" si="105"/>
        <v>0.26925898752751282</v>
      </c>
      <c r="G70" s="69">
        <f t="shared" si="105"/>
        <v>0.34927458355722729</v>
      </c>
      <c r="H70" s="69">
        <f t="shared" si="105"/>
        <v>0.38401914966374101</v>
      </c>
      <c r="I70" s="69">
        <f t="shared" si="105"/>
        <v>0.38798008534850642</v>
      </c>
      <c r="J70" s="69">
        <f t="shared" si="105"/>
        <v>0.38911476120778449</v>
      </c>
      <c r="K70" s="69">
        <f t="shared" si="105"/>
        <v>0.40325476229754781</v>
      </c>
      <c r="L70" s="69">
        <f t="shared" si="105"/>
        <v>0.41532847654290284</v>
      </c>
      <c r="M70" s="69">
        <f t="shared" si="105"/>
        <v>0.42170187094139117</v>
      </c>
      <c r="N70" s="69">
        <f>N60/N$65</f>
        <v>0.43315824517274543</v>
      </c>
      <c r="O70" s="69">
        <f t="shared" si="105"/>
        <v>0.40636890275254517</v>
      </c>
      <c r="P70" s="69">
        <f t="shared" si="105"/>
        <v>0.40282343840649776</v>
      </c>
      <c r="Q70" s="69">
        <f t="shared" si="105"/>
        <v>0.37762499999999999</v>
      </c>
      <c r="R70" s="69">
        <f t="shared" si="105"/>
        <v>0.37275421374328577</v>
      </c>
      <c r="S70" s="69">
        <f t="shared" si="105"/>
        <v>0.37166159151653294</v>
      </c>
      <c r="T70" s="69">
        <f t="shared" si="105"/>
        <v>0.3652052404471382</v>
      </c>
      <c r="U70" s="69">
        <f t="shared" ref="U70:V72" si="106">U60/U$65</f>
        <v>0.35620568031803213</v>
      </c>
      <c r="V70" s="69">
        <f t="shared" si="106"/>
        <v>0.34434296830244243</v>
      </c>
      <c r="W70" s="69">
        <f t="shared" ref="W70:AA70" si="107">W60/W$65</f>
        <v>0.33035473050270653</v>
      </c>
      <c r="X70" s="69">
        <f t="shared" si="107"/>
        <v>0.31478870072003184</v>
      </c>
      <c r="Y70" s="69">
        <f t="shared" si="107"/>
        <v>0.29805160372997552</v>
      </c>
      <c r="Z70" s="69">
        <f t="shared" si="107"/>
        <v>0.28044545474309851</v>
      </c>
      <c r="AA70" s="69">
        <f t="shared" si="107"/>
        <v>0.26219451444868402</v>
      </c>
      <c r="AB70" s="69">
        <f t="shared" ref="AB70" si="108">AB60/AB$65</f>
        <v>0.24346530513500672</v>
      </c>
    </row>
    <row r="71" spans="2:28">
      <c r="B71" s="66" t="str">
        <f>B61</f>
        <v>TEM (also formerly BLS)</v>
      </c>
      <c r="C71" s="69"/>
      <c r="D71" s="69">
        <f t="shared" ref="D71:T71" si="109">D61/D$65</f>
        <v>0.77536860364267124</v>
      </c>
      <c r="E71" s="69">
        <f t="shared" si="109"/>
        <v>0.73592630501535317</v>
      </c>
      <c r="F71" s="69">
        <f t="shared" si="109"/>
        <v>0.68549767669356809</v>
      </c>
      <c r="G71" s="69">
        <f t="shared" si="109"/>
        <v>0.60612573885008059</v>
      </c>
      <c r="H71" s="69">
        <f t="shared" si="109"/>
        <v>0.57665564801094271</v>
      </c>
      <c r="I71" s="69">
        <f t="shared" si="109"/>
        <v>0.57816500711237551</v>
      </c>
      <c r="J71" s="69">
        <f t="shared" si="109"/>
        <v>0.57461917927034201</v>
      </c>
      <c r="K71" s="69">
        <f t="shared" si="109"/>
        <v>0.55595881570903172</v>
      </c>
      <c r="L71" s="69">
        <f t="shared" si="109"/>
        <v>0.53629514649697918</v>
      </c>
      <c r="M71" s="69">
        <f t="shared" si="109"/>
        <v>0.5245343255730297</v>
      </c>
      <c r="N71" s="69">
        <f>N61/N$65</f>
        <v>0.51103660710082255</v>
      </c>
      <c r="O71" s="69">
        <f t="shared" si="109"/>
        <v>0.54029410756521445</v>
      </c>
      <c r="P71" s="69">
        <f t="shared" si="109"/>
        <v>0.54115902791207371</v>
      </c>
      <c r="Q71" s="69">
        <f t="shared" si="109"/>
        <v>0.52459374999999997</v>
      </c>
      <c r="R71" s="69">
        <f t="shared" si="109"/>
        <v>0.47845279990121625</v>
      </c>
      <c r="S71" s="69">
        <f t="shared" si="109"/>
        <v>0.42260104237789925</v>
      </c>
      <c r="T71" s="69">
        <f t="shared" si="109"/>
        <v>0.4037945529081251</v>
      </c>
      <c r="U71" s="69">
        <f t="shared" si="106"/>
        <v>0.40892311917927965</v>
      </c>
      <c r="V71" s="69">
        <f t="shared" si="106"/>
        <v>0.41790123137901142</v>
      </c>
      <c r="W71" s="69">
        <f t="shared" ref="W71:AA71" si="110">W61/W$65</f>
        <v>0.42973744018054594</v>
      </c>
      <c r="X71" s="69">
        <f t="shared" si="110"/>
        <v>0.44369552820022934</v>
      </c>
      <c r="Y71" s="69">
        <f t="shared" si="110"/>
        <v>0.4592288066259918</v>
      </c>
      <c r="Z71" s="69">
        <f t="shared" si="110"/>
        <v>0.47593132558625789</v>
      </c>
      <c r="AA71" s="69">
        <f t="shared" si="110"/>
        <v>0.49350164422709464</v>
      </c>
      <c r="AB71" s="69">
        <f t="shared" ref="AB71" si="111">AB61/AB$65</f>
        <v>0.51171592730536353</v>
      </c>
    </row>
    <row r="72" spans="2:28">
      <c r="B72" s="66" t="str">
        <f>B62</f>
        <v>Nextel</v>
      </c>
      <c r="C72" s="69"/>
      <c r="D72" s="69">
        <f t="shared" ref="D72:T72" si="112">D62/D$65</f>
        <v>5.6374674761491758E-2</v>
      </c>
      <c r="E72" s="69">
        <f t="shared" si="112"/>
        <v>5.015353121801433E-2</v>
      </c>
      <c r="F72" s="69">
        <f t="shared" si="112"/>
        <v>4.524333577891905E-2</v>
      </c>
      <c r="G72" s="69">
        <f t="shared" si="112"/>
        <v>4.4599677592692101E-2</v>
      </c>
      <c r="H72" s="69">
        <f t="shared" si="112"/>
        <v>3.9325202325316312E-2</v>
      </c>
      <c r="I72" s="69">
        <f t="shared" si="112"/>
        <v>3.3854907539118066E-2</v>
      </c>
      <c r="J72" s="69">
        <f t="shared" si="112"/>
        <v>3.6266059521873478E-2</v>
      </c>
      <c r="K72" s="69">
        <f t="shared" si="112"/>
        <v>4.0786421993420606E-2</v>
      </c>
      <c r="L72" s="69">
        <f t="shared" si="112"/>
        <v>4.8376376960118005E-2</v>
      </c>
      <c r="M72" s="69">
        <f t="shared" si="112"/>
        <v>5.3763803485579173E-2</v>
      </c>
      <c r="N72" s="69">
        <f>N62/N$65</f>
        <v>5.5805147726432032E-2</v>
      </c>
      <c r="O72" s="69">
        <f t="shared" si="112"/>
        <v>5.3336989682240425E-2</v>
      </c>
      <c r="P72" s="69">
        <f t="shared" si="112"/>
        <v>5.6017533681428477E-2</v>
      </c>
      <c r="Q72" s="69">
        <f t="shared" si="112"/>
        <v>9.778125E-2</v>
      </c>
      <c r="R72" s="69">
        <f t="shared" si="112"/>
        <v>0.14879298635549792</v>
      </c>
      <c r="S72" s="69">
        <f t="shared" si="112"/>
        <v>0.19998202820837743</v>
      </c>
      <c r="T72" s="69">
        <f t="shared" si="112"/>
        <v>0.2364948331825365</v>
      </c>
      <c r="U72" s="69">
        <f t="shared" si="106"/>
        <v>0.24031142479753945</v>
      </c>
      <c r="V72" s="69">
        <f t="shared" si="106"/>
        <v>0.24314216100651764</v>
      </c>
      <c r="W72" s="69">
        <f t="shared" ref="W72:AA72" si="113">W62/W$65</f>
        <v>0.24524085970087769</v>
      </c>
      <c r="X72" s="69">
        <f t="shared" si="113"/>
        <v>0.24679599918283804</v>
      </c>
      <c r="Y72" s="69">
        <f t="shared" si="113"/>
        <v>0.24794753826096264</v>
      </c>
      <c r="Z72" s="69">
        <f t="shared" si="113"/>
        <v>0.24879940642007936</v>
      </c>
      <c r="AA72" s="69">
        <f t="shared" si="113"/>
        <v>0.24942877869990021</v>
      </c>
      <c r="AB72" s="69">
        <f t="shared" ref="AB72" si="114">AB62/AB$65</f>
        <v>0.24989296298109409</v>
      </c>
    </row>
    <row r="73" spans="2:28"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</row>
    <row r="74" spans="2:28">
      <c r="B74" s="113"/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</row>
    <row r="75" spans="2:28">
      <c r="B75" s="66" t="s">
        <v>68</v>
      </c>
      <c r="C75" s="69"/>
      <c r="D75" s="69">
        <f t="shared" ref="D75:T75" si="115">SUM(D70:D74)</f>
        <v>0.99999999999999989</v>
      </c>
      <c r="E75" s="69">
        <f t="shared" si="115"/>
        <v>1</v>
      </c>
      <c r="F75" s="69">
        <f t="shared" si="115"/>
        <v>1</v>
      </c>
      <c r="G75" s="69">
        <f t="shared" si="115"/>
        <v>1</v>
      </c>
      <c r="H75" s="69">
        <f t="shared" si="115"/>
        <v>1</v>
      </c>
      <c r="I75" s="69">
        <f t="shared" si="115"/>
        <v>0.99999999999999989</v>
      </c>
      <c r="J75" s="69">
        <f t="shared" si="115"/>
        <v>0.99999999999999989</v>
      </c>
      <c r="K75" s="69">
        <f t="shared" si="115"/>
        <v>1.0000000000000002</v>
      </c>
      <c r="L75" s="69">
        <f t="shared" si="115"/>
        <v>1</v>
      </c>
      <c r="M75" s="69">
        <f t="shared" si="115"/>
        <v>1</v>
      </c>
      <c r="N75" s="69">
        <f t="shared" si="115"/>
        <v>1</v>
      </c>
      <c r="O75" s="69">
        <f t="shared" si="115"/>
        <v>1</v>
      </c>
      <c r="P75" s="69">
        <f t="shared" si="115"/>
        <v>0.99999999999999989</v>
      </c>
      <c r="Q75" s="69">
        <f t="shared" si="115"/>
        <v>1</v>
      </c>
      <c r="R75" s="69">
        <f t="shared" si="115"/>
        <v>1</v>
      </c>
      <c r="S75" s="69">
        <f t="shared" si="115"/>
        <v>0.9942446621028096</v>
      </c>
      <c r="T75" s="69">
        <f t="shared" si="115"/>
        <v>1.0054946265377998</v>
      </c>
      <c r="U75" s="69">
        <f t="shared" ref="U75:AA75" si="116">SUM(U70:U74)</f>
        <v>1.0054402242948512</v>
      </c>
      <c r="V75" s="69">
        <f t="shared" si="116"/>
        <v>1.0053863606879716</v>
      </c>
      <c r="W75" s="69">
        <f t="shared" si="116"/>
        <v>1.0053330303841301</v>
      </c>
      <c r="X75" s="69">
        <f t="shared" si="116"/>
        <v>1.0052802281030992</v>
      </c>
      <c r="Y75" s="69">
        <f t="shared" si="116"/>
        <v>1.00522794861693</v>
      </c>
      <c r="Z75" s="69">
        <f t="shared" si="116"/>
        <v>1.0051761867494358</v>
      </c>
      <c r="AA75" s="69">
        <f t="shared" si="116"/>
        <v>1.0051249373756788</v>
      </c>
      <c r="AB75" s="69">
        <f t="shared" ref="AB75" si="117">SUM(AB70:AB74)</f>
        <v>1.0050741954214644</v>
      </c>
    </row>
    <row r="77" spans="2:28">
      <c r="B77" s="70" t="s">
        <v>71</v>
      </c>
    </row>
    <row r="78" spans="2:28">
      <c r="B78" s="66" t="str">
        <f>B70</f>
        <v>AMX (Claro)</v>
      </c>
      <c r="C78" s="69"/>
      <c r="D78" s="69">
        <f t="shared" ref="D78:AB78" si="118">(D60-C60)/D$67</f>
        <v>0.16825672159583693</v>
      </c>
      <c r="E78" s="69">
        <f t="shared" si="118"/>
        <v>0.38240000000000002</v>
      </c>
      <c r="F78" s="69">
        <f t="shared" si="118"/>
        <v>0.40932642487046633</v>
      </c>
      <c r="G78" s="69">
        <f t="shared" si="118"/>
        <v>0.56827309236947787</v>
      </c>
      <c r="H78" s="69">
        <f t="shared" si="118"/>
        <v>0.44482758620689655</v>
      </c>
      <c r="I78" s="69">
        <f t="shared" si="118"/>
        <v>0.39455267637601665</v>
      </c>
      <c r="J78" s="69">
        <f t="shared" si="118"/>
        <v>0.39275131069067698</v>
      </c>
      <c r="K78" s="69">
        <f t="shared" si="118"/>
        <v>0.52385796190123934</v>
      </c>
      <c r="L78" s="69">
        <f t="shared" si="118"/>
        <v>0.50709939148073024</v>
      </c>
      <c r="M78" s="69">
        <f t="shared" si="118"/>
        <v>0.46586249925723466</v>
      </c>
      <c r="N78" s="69">
        <f t="shared" si="118"/>
        <v>0.5333901583450803</v>
      </c>
      <c r="O78" s="69">
        <f t="shared" si="118"/>
        <v>1.8178596739900732</v>
      </c>
      <c r="P78" s="69">
        <f t="shared" si="118"/>
        <v>0.34700485698866701</v>
      </c>
      <c r="Q78" s="69">
        <f t="shared" si="118"/>
        <v>-0.42505133470225875</v>
      </c>
      <c r="R78" s="69">
        <f t="shared" si="118"/>
        <v>-2.2842639593908629E-2</v>
      </c>
      <c r="S78" s="69">
        <f t="shared" si="118"/>
        <v>0.26239936884124959</v>
      </c>
      <c r="T78" s="69">
        <f t="shared" si="118"/>
        <v>-0.28042986649234392</v>
      </c>
      <c r="U78" s="69">
        <f t="shared" si="118"/>
        <v>-0.54375033259255046</v>
      </c>
      <c r="V78" s="69">
        <f t="shared" si="118"/>
        <v>-0.84192823325653299</v>
      </c>
      <c r="W78" s="69">
        <f t="shared" si="118"/>
        <v>-1.0684690494708604</v>
      </c>
      <c r="X78" s="69">
        <f t="shared" si="118"/>
        <v>-1.2418142775474443</v>
      </c>
      <c r="Y78" s="69">
        <f t="shared" si="118"/>
        <v>-1.3756580952756572</v>
      </c>
      <c r="Z78" s="69">
        <f t="shared" si="118"/>
        <v>-1.4801694439446504</v>
      </c>
      <c r="AA78" s="69">
        <f t="shared" si="118"/>
        <v>-1.5628995149927307</v>
      </c>
      <c r="AB78" s="69">
        <f t="shared" si="118"/>
        <v>-1.6294556262327038</v>
      </c>
    </row>
    <row r="79" spans="2:28">
      <c r="B79" s="66" t="str">
        <f>B71</f>
        <v>TEM (also formerly BLS)</v>
      </c>
      <c r="C79" s="69"/>
      <c r="D79" s="69">
        <f t="shared" ref="D79:AB79" si="119">(D61-C61)/D$67</f>
        <v>0.77536860364267124</v>
      </c>
      <c r="E79" s="69">
        <f t="shared" si="119"/>
        <v>0.59040000000000004</v>
      </c>
      <c r="F79" s="69">
        <f t="shared" si="119"/>
        <v>0.55785837651122627</v>
      </c>
      <c r="G79" s="69">
        <f t="shared" si="119"/>
        <v>0.3888888888888889</v>
      </c>
      <c r="H79" s="69">
        <f t="shared" si="119"/>
        <v>0.52507836990595613</v>
      </c>
      <c r="I79" s="69">
        <f t="shared" si="119"/>
        <v>0.58066956686211457</v>
      </c>
      <c r="J79" s="69">
        <f t="shared" si="119"/>
        <v>0.56325507180305445</v>
      </c>
      <c r="K79" s="69">
        <f t="shared" si="119"/>
        <v>0.39680044386905911</v>
      </c>
      <c r="L79" s="69">
        <f t="shared" si="119"/>
        <v>0.38683385579937291</v>
      </c>
      <c r="M79" s="69">
        <f t="shared" si="119"/>
        <v>0.44304474419157386</v>
      </c>
      <c r="N79" s="69">
        <f t="shared" si="119"/>
        <v>0.39294495623381281</v>
      </c>
      <c r="O79" s="69">
        <f t="shared" si="119"/>
        <v>-1.001240255138198</v>
      </c>
      <c r="P79" s="69">
        <f t="shared" si="119"/>
        <v>0.55477603885590931</v>
      </c>
      <c r="Q79" s="69">
        <f t="shared" si="119"/>
        <v>-3.0800821355236141E-3</v>
      </c>
      <c r="R79" s="69">
        <f t="shared" si="119"/>
        <v>-3.2690355329949239</v>
      </c>
      <c r="S79" s="69">
        <f t="shared" si="119"/>
        <v>-5.1625747099538239</v>
      </c>
      <c r="T79" s="69">
        <f t="shared" si="119"/>
        <v>-1.4768543940693084</v>
      </c>
      <c r="U79" s="69">
        <f t="shared" si="119"/>
        <v>0.92177974629472115</v>
      </c>
      <c r="V79" s="69">
        <f t="shared" si="119"/>
        <v>1.3157124513521949</v>
      </c>
      <c r="W79" s="69">
        <f t="shared" si="119"/>
        <v>1.6133583203339745</v>
      </c>
      <c r="X79" s="69">
        <f t="shared" si="119"/>
        <v>1.8395043301685736</v>
      </c>
      <c r="Y79" s="69">
        <f t="shared" si="119"/>
        <v>2.0125566492022453</v>
      </c>
      <c r="Z79" s="69">
        <f t="shared" si="119"/>
        <v>2.1461832216129069</v>
      </c>
      <c r="AA79" s="69">
        <f t="shared" si="119"/>
        <v>2.2505335083107414</v>
      </c>
      <c r="AB79" s="69">
        <f t="shared" si="119"/>
        <v>2.3331442351322256</v>
      </c>
    </row>
    <row r="80" spans="2:28">
      <c r="B80" s="66" t="str">
        <f>B72</f>
        <v>Nextel</v>
      </c>
      <c r="C80" s="69"/>
      <c r="D80" s="69">
        <f t="shared" ref="D80:AB80" si="120">(D62-C62)/D$67</f>
        <v>5.6374674761491758E-2</v>
      </c>
      <c r="E80" s="69">
        <f t="shared" si="120"/>
        <v>2.7199999999999998E-2</v>
      </c>
      <c r="F80" s="69">
        <f t="shared" si="120"/>
        <v>3.281519861830743E-2</v>
      </c>
      <c r="G80" s="69">
        <f t="shared" si="120"/>
        <v>4.2838018741633198E-2</v>
      </c>
      <c r="H80" s="69">
        <f t="shared" si="120"/>
        <v>3.0094043887147336E-2</v>
      </c>
      <c r="I80" s="69">
        <f t="shared" si="120"/>
        <v>2.4777756761868736E-2</v>
      </c>
      <c r="J80" s="69">
        <f t="shared" si="120"/>
        <v>4.3993617506268519E-2</v>
      </c>
      <c r="K80" s="69">
        <f t="shared" si="120"/>
        <v>7.9341594229702272E-2</v>
      </c>
      <c r="L80" s="69">
        <f t="shared" si="120"/>
        <v>0.10606675271989674</v>
      </c>
      <c r="M80" s="69">
        <f t="shared" si="120"/>
        <v>9.1092756551191395E-2</v>
      </c>
      <c r="N80" s="69">
        <f t="shared" si="120"/>
        <v>7.3664885421106066E-2</v>
      </c>
      <c r="O80" s="69">
        <f t="shared" si="120"/>
        <v>0.18338058114812142</v>
      </c>
      <c r="P80" s="69">
        <f t="shared" si="120"/>
        <v>9.8219104155423634E-2</v>
      </c>
      <c r="Q80" s="69">
        <f t="shared" si="120"/>
        <v>1.4281314168377823</v>
      </c>
      <c r="R80" s="69">
        <f t="shared" si="120"/>
        <v>4.2918781725888326</v>
      </c>
      <c r="S80" s="69">
        <f t="shared" si="120"/>
        <v>5.3188862134963477</v>
      </c>
      <c r="T80" s="69">
        <f t="shared" si="120"/>
        <v>3.8877753305984748</v>
      </c>
      <c r="U80" s="69">
        <f t="shared" si="120"/>
        <v>0.62197058629782376</v>
      </c>
      <c r="V80" s="69">
        <f t="shared" si="120"/>
        <v>0.52621578190433804</v>
      </c>
      <c r="W80" s="69">
        <f t="shared" si="120"/>
        <v>0.45511072913688039</v>
      </c>
      <c r="X80" s="69">
        <f t="shared" si="120"/>
        <v>0.40230994737887082</v>
      </c>
      <c r="Y80" s="69">
        <f t="shared" si="120"/>
        <v>0.36310144607342265</v>
      </c>
      <c r="Z80" s="69">
        <f t="shared" si="120"/>
        <v>0.33398622233175407</v>
      </c>
      <c r="AA80" s="69">
        <f t="shared" si="120"/>
        <v>0.31236600668198394</v>
      </c>
      <c r="AB80" s="69">
        <f t="shared" si="120"/>
        <v>0.29631139110048327</v>
      </c>
    </row>
    <row r="81" spans="2:28"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</row>
    <row r="82" spans="2:28"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</row>
    <row r="84" spans="2:28">
      <c r="B84" s="70" t="s">
        <v>69</v>
      </c>
    </row>
    <row r="85" spans="2:28">
      <c r="B85" s="66" t="str">
        <f>B78</f>
        <v>AMX (Claro)</v>
      </c>
      <c r="C85" s="67"/>
      <c r="D85" s="67">
        <f t="shared" ref="D85:AB85" si="121">D60-C60</f>
        <v>388</v>
      </c>
      <c r="E85" s="67">
        <f t="shared" si="121"/>
        <v>239</v>
      </c>
      <c r="F85" s="67">
        <f t="shared" si="121"/>
        <v>474</v>
      </c>
      <c r="G85" s="67">
        <f t="shared" si="121"/>
        <v>849</v>
      </c>
      <c r="H85" s="67">
        <f t="shared" si="121"/>
        <v>1419</v>
      </c>
      <c r="I85" s="67">
        <f t="shared" si="121"/>
        <v>2086</v>
      </c>
      <c r="J85" s="67">
        <f t="shared" si="121"/>
        <v>1723</v>
      </c>
      <c r="K85" s="67">
        <f t="shared" si="121"/>
        <v>1133</v>
      </c>
      <c r="L85" s="67">
        <f t="shared" si="121"/>
        <v>1375</v>
      </c>
      <c r="M85" s="67">
        <f t="shared" si="121"/>
        <v>1568</v>
      </c>
      <c r="N85" s="67">
        <f t="shared" si="121"/>
        <v>1627</v>
      </c>
      <c r="O85" s="67">
        <f t="shared" si="121"/>
        <v>-1026</v>
      </c>
      <c r="P85" s="67">
        <f t="shared" si="121"/>
        <v>643</v>
      </c>
      <c r="Q85" s="67">
        <f t="shared" si="121"/>
        <v>-414</v>
      </c>
      <c r="R85" s="67">
        <f t="shared" si="121"/>
        <v>-9</v>
      </c>
      <c r="S85" s="67">
        <f t="shared" si="121"/>
        <v>85.001651542434047</v>
      </c>
      <c r="T85" s="67">
        <f t="shared" si="121"/>
        <v>-91.750875461044416</v>
      </c>
      <c r="U85" s="67">
        <f t="shared" si="121"/>
        <v>-179.68294664310997</v>
      </c>
      <c r="V85" s="67">
        <f t="shared" si="121"/>
        <v>-280.99835184135009</v>
      </c>
      <c r="W85" s="67">
        <f t="shared" si="121"/>
        <v>-360.17371830000593</v>
      </c>
      <c r="X85" s="67">
        <f t="shared" si="121"/>
        <v>-422.793299126286</v>
      </c>
      <c r="Y85" s="67">
        <f t="shared" si="121"/>
        <v>-473.04595013778089</v>
      </c>
      <c r="Z85" s="67">
        <f t="shared" si="121"/>
        <v>-514.07398758027921</v>
      </c>
      <c r="AA85" s="67">
        <f t="shared" si="121"/>
        <v>-548.23483151741857</v>
      </c>
      <c r="AB85" s="67">
        <f t="shared" si="121"/>
        <v>-577.29723847544847</v>
      </c>
    </row>
    <row r="86" spans="2:28">
      <c r="B86" s="66" t="str">
        <f>B79</f>
        <v>TEM (also formerly BLS)</v>
      </c>
      <c r="C86" s="67"/>
      <c r="D86" s="67">
        <f t="shared" ref="D86:AB86" si="122">D61-C61</f>
        <v>1788</v>
      </c>
      <c r="E86" s="67">
        <f t="shared" si="122"/>
        <v>369</v>
      </c>
      <c r="F86" s="67">
        <f t="shared" si="122"/>
        <v>646</v>
      </c>
      <c r="G86" s="67">
        <f t="shared" si="122"/>
        <v>581</v>
      </c>
      <c r="H86" s="67">
        <f t="shared" si="122"/>
        <v>1675</v>
      </c>
      <c r="I86" s="67">
        <f t="shared" si="122"/>
        <v>3070</v>
      </c>
      <c r="J86" s="67">
        <f t="shared" si="122"/>
        <v>2471</v>
      </c>
      <c r="K86" s="67">
        <f t="shared" si="122"/>
        <v>858.20000000000073</v>
      </c>
      <c r="L86" s="67">
        <f t="shared" si="122"/>
        <v>1048.8999999999996</v>
      </c>
      <c r="M86" s="67">
        <f t="shared" si="122"/>
        <v>1491.1999999999989</v>
      </c>
      <c r="N86" s="67">
        <f t="shared" si="122"/>
        <v>1198.6000000000004</v>
      </c>
      <c r="O86" s="67">
        <f t="shared" si="122"/>
        <v>565.10000000000036</v>
      </c>
      <c r="P86" s="67">
        <f t="shared" si="122"/>
        <v>1028</v>
      </c>
      <c r="Q86" s="67">
        <f t="shared" si="122"/>
        <v>-3</v>
      </c>
      <c r="R86" s="67">
        <f t="shared" si="122"/>
        <v>-1288</v>
      </c>
      <c r="S86" s="67">
        <f t="shared" si="122"/>
        <v>-1672.3644515424348</v>
      </c>
      <c r="T86" s="67">
        <f t="shared" si="122"/>
        <v>-483.19633453895585</v>
      </c>
      <c r="U86" s="67">
        <f t="shared" si="122"/>
        <v>304.60321776811543</v>
      </c>
      <c r="V86" s="67">
        <f t="shared" si="122"/>
        <v>439.12653801509805</v>
      </c>
      <c r="W86" s="67">
        <f t="shared" si="122"/>
        <v>543.85222058862018</v>
      </c>
      <c r="X86" s="67">
        <f t="shared" si="122"/>
        <v>626.2853621276281</v>
      </c>
      <c r="Y86" s="67">
        <f t="shared" si="122"/>
        <v>692.05551553652185</v>
      </c>
      <c r="Z86" s="67">
        <f t="shared" si="122"/>
        <v>745.38558495853795</v>
      </c>
      <c r="AA86" s="67">
        <f t="shared" si="122"/>
        <v>789.44349711362156</v>
      </c>
      <c r="AB86" s="67">
        <f t="shared" si="122"/>
        <v>826.60595491073036</v>
      </c>
    </row>
    <row r="87" spans="2:28">
      <c r="B87" s="66" t="str">
        <f>B80</f>
        <v>Nextel</v>
      </c>
      <c r="C87" s="67"/>
      <c r="D87" s="67">
        <f t="shared" ref="D87:AB87" si="123">D62-C62</f>
        <v>130</v>
      </c>
      <c r="E87" s="67">
        <f t="shared" si="123"/>
        <v>17</v>
      </c>
      <c r="F87" s="67">
        <f t="shared" si="123"/>
        <v>38</v>
      </c>
      <c r="G87" s="67">
        <f t="shared" si="123"/>
        <v>64</v>
      </c>
      <c r="H87" s="67">
        <f t="shared" si="123"/>
        <v>96</v>
      </c>
      <c r="I87" s="67">
        <f t="shared" si="123"/>
        <v>131</v>
      </c>
      <c r="J87" s="67">
        <f t="shared" si="123"/>
        <v>193</v>
      </c>
      <c r="K87" s="67">
        <f t="shared" si="123"/>
        <v>171.60000000000002</v>
      </c>
      <c r="L87" s="67">
        <f t="shared" si="123"/>
        <v>287.60000000000002</v>
      </c>
      <c r="M87" s="67">
        <f t="shared" si="123"/>
        <v>306.59999999999991</v>
      </c>
      <c r="N87" s="67">
        <f t="shared" si="123"/>
        <v>224.70000000000005</v>
      </c>
      <c r="O87" s="67">
        <f t="shared" si="123"/>
        <v>-103.5</v>
      </c>
      <c r="P87" s="67">
        <f t="shared" si="123"/>
        <v>182</v>
      </c>
      <c r="Q87" s="67">
        <f t="shared" si="123"/>
        <v>1391</v>
      </c>
      <c r="R87" s="67">
        <f t="shared" si="123"/>
        <v>1691</v>
      </c>
      <c r="S87" s="67">
        <f t="shared" si="123"/>
        <v>1723</v>
      </c>
      <c r="T87" s="67">
        <f t="shared" si="123"/>
        <v>1272</v>
      </c>
      <c r="U87" s="67">
        <f>U62-T62</f>
        <v>205.53092287500112</v>
      </c>
      <c r="V87" s="67">
        <f t="shared" si="123"/>
        <v>175.62751976625077</v>
      </c>
      <c r="W87" s="67">
        <f t="shared" si="123"/>
        <v>153.41476071078978</v>
      </c>
      <c r="X87" s="67">
        <f t="shared" si="123"/>
        <v>136.97213262805053</v>
      </c>
      <c r="Y87" s="67">
        <f t="shared" si="123"/>
        <v>124.85927218694997</v>
      </c>
      <c r="Z87" s="67">
        <f t="shared" si="123"/>
        <v>115.99592858328106</v>
      </c>
      <c r="AA87" s="67">
        <f t="shared" si="123"/>
        <v>109.57193562496104</v>
      </c>
      <c r="AB87" s="67">
        <f t="shared" si="123"/>
        <v>104.97969079809627</v>
      </c>
    </row>
    <row r="88" spans="2:28"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</row>
    <row r="89" spans="2:28"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</row>
    <row r="91" spans="2:28">
      <c r="B91" s="70" t="s">
        <v>3</v>
      </c>
    </row>
    <row r="92" spans="2:28">
      <c r="B92" s="66" t="str">
        <f>B85</f>
        <v>AMX (Claro)</v>
      </c>
      <c r="D92" s="46"/>
      <c r="E92" s="46">
        <v>0.25</v>
      </c>
      <c r="F92" s="46">
        <v>0.25</v>
      </c>
      <c r="G92" s="46">
        <v>0.25</v>
      </c>
      <c r="H92" s="46">
        <v>0.25</v>
      </c>
      <c r="I92" s="46">
        <v>0.25</v>
      </c>
      <c r="J92" s="46">
        <v>0.25</v>
      </c>
      <c r="K92" s="46">
        <v>0.25</v>
      </c>
      <c r="L92" s="46">
        <v>0.25</v>
      </c>
      <c r="M92" s="46">
        <v>0.25</v>
      </c>
      <c r="N92" s="46">
        <v>0.25</v>
      </c>
      <c r="O92" s="46">
        <v>0.25</v>
      </c>
      <c r="P92" s="46">
        <v>0.25</v>
      </c>
      <c r="Q92" s="46">
        <v>0.25</v>
      </c>
      <c r="R92" s="46">
        <v>0.25</v>
      </c>
      <c r="S92" s="46">
        <v>0.25</v>
      </c>
      <c r="T92" s="46">
        <v>0.25</v>
      </c>
      <c r="U92" s="46">
        <v>0.25</v>
      </c>
      <c r="V92" s="46">
        <v>0.25</v>
      </c>
      <c r="W92" s="46">
        <v>0.25</v>
      </c>
      <c r="X92" s="46">
        <v>0.25</v>
      </c>
      <c r="Y92" s="46">
        <v>0.25</v>
      </c>
      <c r="Z92" s="46">
        <v>0.25</v>
      </c>
      <c r="AA92" s="46">
        <v>0.25</v>
      </c>
      <c r="AB92" s="46">
        <v>0.25</v>
      </c>
    </row>
    <row r="93" spans="2:28">
      <c r="B93" s="66" t="str">
        <f>B86</f>
        <v>TEM (also formerly BLS)</v>
      </c>
      <c r="D93" s="46"/>
      <c r="E93" s="46">
        <v>0.25</v>
      </c>
      <c r="F93" s="46">
        <v>0.25</v>
      </c>
      <c r="G93" s="46">
        <v>0.25</v>
      </c>
      <c r="H93" s="46">
        <v>0.25</v>
      </c>
      <c r="I93" s="46">
        <v>0.25</v>
      </c>
      <c r="J93" s="46">
        <f>I93</f>
        <v>0.25</v>
      </c>
      <c r="K93" s="46">
        <f>J93</f>
        <v>0.25</v>
      </c>
      <c r="L93" s="46">
        <f t="shared" ref="L93:AB93" si="124">K93</f>
        <v>0.25</v>
      </c>
      <c r="M93" s="46">
        <f t="shared" si="124"/>
        <v>0.25</v>
      </c>
      <c r="N93" s="46">
        <f t="shared" si="124"/>
        <v>0.25</v>
      </c>
      <c r="O93" s="46">
        <f t="shared" si="124"/>
        <v>0.25</v>
      </c>
      <c r="P93" s="46">
        <f t="shared" si="124"/>
        <v>0.25</v>
      </c>
      <c r="Q93" s="46">
        <f t="shared" si="124"/>
        <v>0.25</v>
      </c>
      <c r="R93" s="46">
        <f t="shared" si="124"/>
        <v>0.25</v>
      </c>
      <c r="S93" s="46">
        <f t="shared" si="124"/>
        <v>0.25</v>
      </c>
      <c r="T93" s="46">
        <f t="shared" si="124"/>
        <v>0.25</v>
      </c>
      <c r="U93" s="46">
        <f t="shared" si="124"/>
        <v>0.25</v>
      </c>
      <c r="V93" s="46">
        <f t="shared" si="124"/>
        <v>0.25</v>
      </c>
      <c r="W93" s="46">
        <f t="shared" si="124"/>
        <v>0.25</v>
      </c>
      <c r="X93" s="46">
        <f t="shared" si="124"/>
        <v>0.25</v>
      </c>
      <c r="Y93" s="46">
        <f t="shared" si="124"/>
        <v>0.25</v>
      </c>
      <c r="Z93" s="46">
        <f t="shared" si="124"/>
        <v>0.25</v>
      </c>
      <c r="AA93" s="46">
        <f t="shared" si="124"/>
        <v>0.25</v>
      </c>
      <c r="AB93" s="46">
        <f t="shared" si="124"/>
        <v>0.25</v>
      </c>
    </row>
    <row r="94" spans="2:28">
      <c r="B94" s="66" t="str">
        <f>B87</f>
        <v>Nextel</v>
      </c>
      <c r="D94" s="46">
        <v>0.22</v>
      </c>
      <c r="E94" s="46">
        <v>0.22</v>
      </c>
      <c r="F94" s="46">
        <v>0.22</v>
      </c>
      <c r="G94" s="46">
        <v>0.22</v>
      </c>
      <c r="H94" s="46">
        <v>0.22</v>
      </c>
      <c r="I94" s="46">
        <v>0.22</v>
      </c>
      <c r="J94" s="46">
        <v>0.22</v>
      </c>
      <c r="K94" s="46">
        <v>0.22</v>
      </c>
      <c r="L94" s="46">
        <v>0.22</v>
      </c>
      <c r="M94" s="46">
        <f>2.21%*12</f>
        <v>0.26519999999999999</v>
      </c>
      <c r="N94" s="46">
        <f>3.12%*12</f>
        <v>0.37440000000000001</v>
      </c>
      <c r="O94" s="46">
        <v>0.22</v>
      </c>
      <c r="P94" s="46">
        <v>0.4</v>
      </c>
      <c r="Q94" s="46">
        <v>0.4</v>
      </c>
      <c r="R94" s="46">
        <v>0.28000000000000003</v>
      </c>
      <c r="S94" s="46">
        <v>0.25</v>
      </c>
      <c r="T94" s="46">
        <v>0.25</v>
      </c>
      <c r="U94" s="46">
        <v>0.25</v>
      </c>
      <c r="V94" s="46">
        <v>0.25</v>
      </c>
      <c r="W94" s="46">
        <v>0.25</v>
      </c>
      <c r="X94" s="46">
        <v>0.25</v>
      </c>
      <c r="Y94" s="46">
        <v>0.25</v>
      </c>
      <c r="Z94" s="46">
        <v>0.25</v>
      </c>
      <c r="AA94" s="46">
        <v>0.25</v>
      </c>
      <c r="AB94" s="46">
        <v>0.25</v>
      </c>
    </row>
    <row r="98" spans="2:28">
      <c r="B98" s="70" t="s">
        <v>768</v>
      </c>
    </row>
    <row r="99" spans="2:28">
      <c r="B99" s="66" t="str">
        <f>B92</f>
        <v>AMX (Claro)</v>
      </c>
      <c r="C99" s="67"/>
      <c r="D99" s="67">
        <f t="shared" ref="D99:AB99" si="125">D92*C60</f>
        <v>0</v>
      </c>
      <c r="E99" s="67">
        <f t="shared" si="125"/>
        <v>97</v>
      </c>
      <c r="F99" s="67">
        <f t="shared" si="125"/>
        <v>156.75</v>
      </c>
      <c r="G99" s="67">
        <f t="shared" si="125"/>
        <v>275.25</v>
      </c>
      <c r="H99" s="67">
        <f t="shared" si="125"/>
        <v>487.5</v>
      </c>
      <c r="I99" s="67">
        <f t="shared" si="125"/>
        <v>842.25</v>
      </c>
      <c r="J99" s="67">
        <f t="shared" si="125"/>
        <v>1363.75</v>
      </c>
      <c r="K99" s="67">
        <f t="shared" si="125"/>
        <v>1794.5</v>
      </c>
      <c r="L99" s="67">
        <f t="shared" si="125"/>
        <v>2077.75</v>
      </c>
      <c r="M99" s="67">
        <f t="shared" si="125"/>
        <v>2421.5</v>
      </c>
      <c r="N99" s="67">
        <f>N92*M60</f>
        <v>2813.5</v>
      </c>
      <c r="O99" s="67">
        <f t="shared" si="125"/>
        <v>3220.25</v>
      </c>
      <c r="P99" s="67">
        <f t="shared" si="125"/>
        <v>2963.75</v>
      </c>
      <c r="Q99" s="67">
        <f t="shared" si="125"/>
        <v>3124.5</v>
      </c>
      <c r="R99" s="67">
        <f t="shared" si="125"/>
        <v>3021</v>
      </c>
      <c r="S99" s="67">
        <f t="shared" si="125"/>
        <v>3018.75</v>
      </c>
      <c r="T99" s="67">
        <f t="shared" si="125"/>
        <v>3040.0004128856085</v>
      </c>
      <c r="U99" s="67">
        <f t="shared" si="125"/>
        <v>3017.0626940203474</v>
      </c>
      <c r="V99" s="67">
        <f t="shared" si="125"/>
        <v>2972.1419573595699</v>
      </c>
      <c r="W99" s="67">
        <f t="shared" si="125"/>
        <v>2901.8923693992324</v>
      </c>
      <c r="X99" s="67">
        <f t="shared" si="125"/>
        <v>2811.8489398242309</v>
      </c>
      <c r="Y99" s="67">
        <f t="shared" si="125"/>
        <v>2706.1506150426594</v>
      </c>
      <c r="Z99" s="67">
        <f t="shared" si="125"/>
        <v>2587.8891275082142</v>
      </c>
      <c r="AA99" s="67">
        <f t="shared" si="125"/>
        <v>2459.3706306131444</v>
      </c>
      <c r="AB99" s="67">
        <f t="shared" si="125"/>
        <v>2322.3119227337897</v>
      </c>
    </row>
    <row r="100" spans="2:28">
      <c r="B100" s="66" t="str">
        <f>B93</f>
        <v>TEM (also formerly BLS)</v>
      </c>
      <c r="C100" s="67"/>
      <c r="D100" s="67">
        <f t="shared" ref="D100:AB100" si="126">D93*C61</f>
        <v>0</v>
      </c>
      <c r="E100" s="67">
        <f t="shared" si="126"/>
        <v>447</v>
      </c>
      <c r="F100" s="67">
        <f t="shared" si="126"/>
        <v>539.25</v>
      </c>
      <c r="G100" s="67">
        <f t="shared" si="126"/>
        <v>700.75</v>
      </c>
      <c r="H100" s="67">
        <f t="shared" si="126"/>
        <v>846</v>
      </c>
      <c r="I100" s="67">
        <f t="shared" si="126"/>
        <v>1264.75</v>
      </c>
      <c r="J100" s="67">
        <f t="shared" si="126"/>
        <v>2032.25</v>
      </c>
      <c r="K100" s="67">
        <f t="shared" si="126"/>
        <v>2650</v>
      </c>
      <c r="L100" s="67">
        <f t="shared" si="126"/>
        <v>2864.55</v>
      </c>
      <c r="M100" s="67">
        <f t="shared" si="126"/>
        <v>3126.7750000000001</v>
      </c>
      <c r="N100" s="67">
        <f>N93*M61</f>
        <v>3499.5749999999998</v>
      </c>
      <c r="O100" s="67">
        <f t="shared" si="126"/>
        <v>3799.2249999999999</v>
      </c>
      <c r="P100" s="67">
        <f t="shared" si="126"/>
        <v>3940.5</v>
      </c>
      <c r="Q100" s="67">
        <f t="shared" si="126"/>
        <v>4197.5</v>
      </c>
      <c r="R100" s="67">
        <f t="shared" si="126"/>
        <v>4196.75</v>
      </c>
      <c r="S100" s="67">
        <f t="shared" si="126"/>
        <v>3874.75</v>
      </c>
      <c r="T100" s="67">
        <f t="shared" si="126"/>
        <v>3456.6588871143913</v>
      </c>
      <c r="U100" s="67">
        <f t="shared" si="126"/>
        <v>3335.8598034796523</v>
      </c>
      <c r="V100" s="67">
        <f t="shared" si="126"/>
        <v>3412.0106079216812</v>
      </c>
      <c r="W100" s="67">
        <f t="shared" si="126"/>
        <v>3521.7922424254557</v>
      </c>
      <c r="X100" s="67">
        <f t="shared" si="126"/>
        <v>3657.7552975726107</v>
      </c>
      <c r="Y100" s="67">
        <f t="shared" si="126"/>
        <v>3814.3266381045178</v>
      </c>
      <c r="Z100" s="67">
        <f t="shared" si="126"/>
        <v>3987.3405169886482</v>
      </c>
      <c r="AA100" s="67">
        <f t="shared" si="126"/>
        <v>4173.6869132282827</v>
      </c>
      <c r="AB100" s="67">
        <f t="shared" si="126"/>
        <v>4371.0477875066881</v>
      </c>
    </row>
    <row r="101" spans="2:28">
      <c r="B101" s="66" t="str">
        <f>B94</f>
        <v>Nextel</v>
      </c>
      <c r="C101" s="67"/>
      <c r="D101" s="67">
        <f t="shared" ref="D101:AB101" si="127">D94*C62</f>
        <v>0</v>
      </c>
      <c r="E101" s="67">
        <f t="shared" si="127"/>
        <v>28.6</v>
      </c>
      <c r="F101" s="67">
        <f t="shared" si="127"/>
        <v>32.340000000000003</v>
      </c>
      <c r="G101" s="67">
        <f t="shared" si="127"/>
        <v>40.700000000000003</v>
      </c>
      <c r="H101" s="67">
        <f t="shared" si="127"/>
        <v>54.78</v>
      </c>
      <c r="I101" s="67">
        <f t="shared" si="127"/>
        <v>75.900000000000006</v>
      </c>
      <c r="J101" s="67">
        <f t="shared" si="127"/>
        <v>104.72</v>
      </c>
      <c r="K101" s="67">
        <f t="shared" si="127"/>
        <v>147.18</v>
      </c>
      <c r="L101" s="67">
        <f t="shared" si="127"/>
        <v>184.93200000000002</v>
      </c>
      <c r="M101" s="67">
        <f t="shared" si="127"/>
        <v>299.19864000000001</v>
      </c>
      <c r="N101" s="67">
        <f>N94*M62</f>
        <v>537.18912</v>
      </c>
      <c r="O101" s="67">
        <f t="shared" si="127"/>
        <v>365.09</v>
      </c>
      <c r="P101" s="67">
        <f t="shared" si="127"/>
        <v>622.40000000000009</v>
      </c>
      <c r="Q101" s="67">
        <f t="shared" si="127"/>
        <v>695.2</v>
      </c>
      <c r="R101" s="389">
        <f>R94*Q62</f>
        <v>876.12000000000012</v>
      </c>
      <c r="S101" s="67">
        <f t="shared" si="127"/>
        <v>1205</v>
      </c>
      <c r="T101" s="67">
        <f t="shared" si="127"/>
        <v>1635.75</v>
      </c>
      <c r="U101" s="67">
        <f t="shared" si="127"/>
        <v>1953.75</v>
      </c>
      <c r="V101" s="67">
        <f t="shared" si="127"/>
        <v>2005.1327307187503</v>
      </c>
      <c r="W101" s="67">
        <f t="shared" si="127"/>
        <v>2049.039610660313</v>
      </c>
      <c r="X101" s="67">
        <f t="shared" si="127"/>
        <v>2087.3933008380104</v>
      </c>
      <c r="Y101" s="67">
        <f t="shared" si="127"/>
        <v>2121.6363339950231</v>
      </c>
      <c r="Z101" s="67">
        <f t="shared" si="127"/>
        <v>2152.8511520417605</v>
      </c>
      <c r="AA101" s="67">
        <f t="shared" si="127"/>
        <v>2181.8501341875808</v>
      </c>
      <c r="AB101" s="67">
        <f t="shared" si="127"/>
        <v>2209.2431180938211</v>
      </c>
    </row>
    <row r="102" spans="2:28"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</row>
    <row r="103" spans="2:28"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</row>
    <row r="104" spans="2:28">
      <c r="B104" s="70" t="s">
        <v>767</v>
      </c>
      <c r="C104" s="71"/>
      <c r="D104" s="71">
        <f t="shared" ref="D104:T104" si="128">SUM(D99:D103)</f>
        <v>0</v>
      </c>
      <c r="E104" s="71">
        <f t="shared" si="128"/>
        <v>572.6</v>
      </c>
      <c r="F104" s="71">
        <f t="shared" si="128"/>
        <v>728.34</v>
      </c>
      <c r="G104" s="71">
        <f t="shared" si="128"/>
        <v>1016.7</v>
      </c>
      <c r="H104" s="71">
        <f t="shared" si="128"/>
        <v>1388.28</v>
      </c>
      <c r="I104" s="71">
        <f t="shared" si="128"/>
        <v>2182.9</v>
      </c>
      <c r="J104" s="71">
        <f t="shared" si="128"/>
        <v>3500.72</v>
      </c>
      <c r="K104" s="71">
        <f t="shared" si="128"/>
        <v>4591.68</v>
      </c>
      <c r="L104" s="71">
        <f t="shared" si="128"/>
        <v>5127.232</v>
      </c>
      <c r="M104" s="71">
        <f t="shared" si="128"/>
        <v>5847.4736399999992</v>
      </c>
      <c r="N104" s="71">
        <f t="shared" si="128"/>
        <v>6850.2641199999998</v>
      </c>
      <c r="O104" s="71">
        <f t="shared" si="128"/>
        <v>7384.5650000000005</v>
      </c>
      <c r="P104" s="71">
        <f t="shared" si="128"/>
        <v>7526.65</v>
      </c>
      <c r="Q104" s="71">
        <f t="shared" si="128"/>
        <v>8017.2</v>
      </c>
      <c r="R104" s="71">
        <f t="shared" si="128"/>
        <v>8093.87</v>
      </c>
      <c r="S104" s="71">
        <f t="shared" si="128"/>
        <v>8098.5</v>
      </c>
      <c r="T104" s="71">
        <f t="shared" si="128"/>
        <v>8132.4092999999993</v>
      </c>
      <c r="U104" s="71">
        <f t="shared" ref="U104:AA104" si="129">SUM(U99:U103)</f>
        <v>8306.6724974999997</v>
      </c>
      <c r="V104" s="71">
        <f t="shared" si="129"/>
        <v>8389.2852960000018</v>
      </c>
      <c r="W104" s="71">
        <f t="shared" si="129"/>
        <v>8472.7242224850015</v>
      </c>
      <c r="X104" s="71">
        <f t="shared" si="129"/>
        <v>8556.9975382348512</v>
      </c>
      <c r="Y104" s="71">
        <f t="shared" si="129"/>
        <v>8642.1135871422011</v>
      </c>
      <c r="Z104" s="71">
        <f t="shared" si="129"/>
        <v>8728.080796538623</v>
      </c>
      <c r="AA104" s="71">
        <f t="shared" si="129"/>
        <v>8814.9076780290088</v>
      </c>
      <c r="AB104" s="71">
        <f t="shared" ref="AB104" si="130">SUM(AB99:AB103)</f>
        <v>8902.6028283343003</v>
      </c>
    </row>
    <row r="106" spans="2:28">
      <c r="B106" s="70" t="s">
        <v>752</v>
      </c>
    </row>
    <row r="107" spans="2:28">
      <c r="B107" s="66" t="str">
        <f>B99</f>
        <v>AMX (Claro)</v>
      </c>
      <c r="C107" s="67"/>
      <c r="D107" s="67">
        <f t="shared" ref="D107:I109" si="131">D85+D99</f>
        <v>388</v>
      </c>
      <c r="E107" s="67">
        <f t="shared" si="131"/>
        <v>336</v>
      </c>
      <c r="F107" s="67">
        <f t="shared" si="131"/>
        <v>630.75</v>
      </c>
      <c r="G107" s="67">
        <f t="shared" si="131"/>
        <v>1124.25</v>
      </c>
      <c r="H107" s="67">
        <f t="shared" si="131"/>
        <v>1906.5</v>
      </c>
      <c r="I107" s="67">
        <f t="shared" si="131"/>
        <v>2928.25</v>
      </c>
      <c r="J107" s="67">
        <f t="shared" ref="J107:N109" si="132">J85+J99</f>
        <v>3086.75</v>
      </c>
      <c r="K107" s="67">
        <f t="shared" si="132"/>
        <v>2927.5</v>
      </c>
      <c r="L107" s="67">
        <f t="shared" si="132"/>
        <v>3452.75</v>
      </c>
      <c r="M107" s="67">
        <f t="shared" si="132"/>
        <v>3989.5</v>
      </c>
      <c r="N107" s="67">
        <f t="shared" si="132"/>
        <v>4440.5</v>
      </c>
      <c r="O107" s="67">
        <f t="shared" ref="O107:T107" si="133">O$112*O115</f>
        <v>3058.9108171444273</v>
      </c>
      <c r="P107" s="67">
        <f t="shared" si="133"/>
        <v>4019.2719139762348</v>
      </c>
      <c r="Q107" s="67">
        <f t="shared" si="133"/>
        <v>3672.9932834746633</v>
      </c>
      <c r="R107" s="67">
        <f t="shared" si="133"/>
        <v>3297.6206475360445</v>
      </c>
      <c r="S107" s="67">
        <f t="shared" si="133"/>
        <v>3103.751651542434</v>
      </c>
      <c r="T107" s="67">
        <f t="shared" si="133"/>
        <v>2948.2495374245641</v>
      </c>
      <c r="U107" s="67">
        <f t="shared" ref="U107:V109" si="134">U$112*U115</f>
        <v>2837.3797473772379</v>
      </c>
      <c r="V107" s="67">
        <f t="shared" si="134"/>
        <v>2691.1436055182198</v>
      </c>
      <c r="W107" s="67">
        <f t="shared" ref="W107:AA107" si="135">W$112*W115</f>
        <v>2541.7186510992278</v>
      </c>
      <c r="X107" s="67">
        <f t="shared" si="135"/>
        <v>2389.0556406979449</v>
      </c>
      <c r="Y107" s="67">
        <f t="shared" si="135"/>
        <v>2233.104664904879</v>
      </c>
      <c r="Z107" s="67">
        <f t="shared" si="135"/>
        <v>2073.815139927935</v>
      </c>
      <c r="AA107" s="67">
        <f t="shared" si="135"/>
        <v>1911.135799095726</v>
      </c>
      <c r="AB107" s="67">
        <f t="shared" ref="AB107" si="136">AB$112*AB115</f>
        <v>1745.014684258342</v>
      </c>
    </row>
    <row r="108" spans="2:28">
      <c r="B108" s="66" t="str">
        <f>B100</f>
        <v>TEM (also formerly BLS)</v>
      </c>
      <c r="C108" s="67"/>
      <c r="D108" s="67">
        <f t="shared" si="131"/>
        <v>1788</v>
      </c>
      <c r="E108" s="67">
        <f t="shared" si="131"/>
        <v>816</v>
      </c>
      <c r="F108" s="67">
        <f t="shared" si="131"/>
        <v>1185.25</v>
      </c>
      <c r="G108" s="67">
        <f t="shared" si="131"/>
        <v>1281.75</v>
      </c>
      <c r="H108" s="67">
        <f t="shared" si="131"/>
        <v>2521</v>
      </c>
      <c r="I108" s="67">
        <f t="shared" si="131"/>
        <v>4334.75</v>
      </c>
      <c r="J108" s="67">
        <f t="shared" si="132"/>
        <v>4503.25</v>
      </c>
      <c r="K108" s="67">
        <f t="shared" si="132"/>
        <v>3508.2000000000007</v>
      </c>
      <c r="L108" s="67">
        <f t="shared" si="132"/>
        <v>3913.45</v>
      </c>
      <c r="M108" s="67">
        <f t="shared" si="132"/>
        <v>4617.9749999999985</v>
      </c>
      <c r="N108" s="67">
        <f t="shared" si="132"/>
        <v>4698.1750000000002</v>
      </c>
      <c r="O108" s="67">
        <f t="shared" ref="O108:T108" si="137">O$112*O116</f>
        <v>3249.741807855572</v>
      </c>
      <c r="P108" s="67">
        <f t="shared" si="137"/>
        <v>4891.3955860237638</v>
      </c>
      <c r="Q108" s="67">
        <f t="shared" si="137"/>
        <v>3070.4067165253373</v>
      </c>
      <c r="R108" s="67">
        <f t="shared" si="137"/>
        <v>2389.2522524639544</v>
      </c>
      <c r="S108" s="67">
        <f t="shared" si="137"/>
        <v>2202.3855484575652</v>
      </c>
      <c r="T108" s="67">
        <f t="shared" si="137"/>
        <v>2973.4625525754332</v>
      </c>
      <c r="U108" s="67">
        <f t="shared" si="134"/>
        <v>3640.4630212477682</v>
      </c>
      <c r="V108" s="67">
        <f t="shared" si="134"/>
        <v>3851.1371459367806</v>
      </c>
      <c r="W108" s="67">
        <f t="shared" ref="W108:AA108" si="138">W$112*W116</f>
        <v>4065.6444630140777</v>
      </c>
      <c r="X108" s="67">
        <f t="shared" si="138"/>
        <v>4284.0406597002384</v>
      </c>
      <c r="Y108" s="67">
        <f t="shared" si="138"/>
        <v>4506.3821536410378</v>
      </c>
      <c r="Z108" s="67">
        <f t="shared" si="138"/>
        <v>4732.7261019471853</v>
      </c>
      <c r="AA108" s="67">
        <f t="shared" si="138"/>
        <v>4963.1304103419043</v>
      </c>
      <c r="AB108" s="67">
        <f t="shared" ref="AB108" si="139">AB$112*AB116</f>
        <v>5197.6537424174157</v>
      </c>
    </row>
    <row r="109" spans="2:28">
      <c r="B109" s="66" t="str">
        <f>B101</f>
        <v>Nextel</v>
      </c>
      <c r="C109" s="67"/>
      <c r="D109" s="67">
        <f t="shared" si="131"/>
        <v>130</v>
      </c>
      <c r="E109" s="67">
        <f t="shared" si="131"/>
        <v>45.6</v>
      </c>
      <c r="F109" s="67">
        <f t="shared" si="131"/>
        <v>70.34</v>
      </c>
      <c r="G109" s="67">
        <f t="shared" si="131"/>
        <v>104.7</v>
      </c>
      <c r="H109" s="67">
        <f t="shared" si="131"/>
        <v>150.78</v>
      </c>
      <c r="I109" s="67">
        <f t="shared" si="131"/>
        <v>206.9</v>
      </c>
      <c r="J109" s="67">
        <f t="shared" si="132"/>
        <v>297.72000000000003</v>
      </c>
      <c r="K109" s="67">
        <f t="shared" si="132"/>
        <v>318.78000000000003</v>
      </c>
      <c r="L109" s="67">
        <f t="shared" si="132"/>
        <v>472.53200000000004</v>
      </c>
      <c r="M109" s="67">
        <f t="shared" si="132"/>
        <v>605.79863999999998</v>
      </c>
      <c r="N109" s="67">
        <f t="shared" si="132"/>
        <v>761.88912000000005</v>
      </c>
      <c r="O109" s="67">
        <f t="shared" ref="O109:T109" si="140">O$112*O117</f>
        <v>511.51237499999991</v>
      </c>
      <c r="P109" s="67">
        <f t="shared" si="140"/>
        <v>468.98250000000002</v>
      </c>
      <c r="Q109" s="67">
        <f>Q$112*Q117</f>
        <v>2247.8000000000002</v>
      </c>
      <c r="R109" s="67">
        <f t="shared" si="140"/>
        <v>2800.9970999999996</v>
      </c>
      <c r="S109" s="67">
        <f t="shared" si="140"/>
        <v>3116.3027999999995</v>
      </c>
      <c r="T109" s="67">
        <f t="shared" si="140"/>
        <v>2537.8766099999989</v>
      </c>
      <c r="U109" s="67">
        <f t="shared" si="134"/>
        <v>2159.280922875002</v>
      </c>
      <c r="V109" s="67">
        <f t="shared" si="134"/>
        <v>2180.7602504850001</v>
      </c>
      <c r="W109" s="67">
        <f t="shared" ref="W109:AA109" si="141">W$112*W117</f>
        <v>2202.4543713711018</v>
      </c>
      <c r="X109" s="67">
        <f t="shared" si="141"/>
        <v>2224.3654334660609</v>
      </c>
      <c r="Y109" s="67">
        <f t="shared" si="141"/>
        <v>2246.4956061819721</v>
      </c>
      <c r="Z109" s="67">
        <f t="shared" si="141"/>
        <v>2268.8470806250398</v>
      </c>
      <c r="AA109" s="67">
        <f t="shared" si="141"/>
        <v>2291.4220698125437</v>
      </c>
      <c r="AB109" s="67">
        <f t="shared" ref="AB109" si="142">AB$112*AB117</f>
        <v>2314.2228088919192</v>
      </c>
    </row>
    <row r="110" spans="2:28"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</row>
    <row r="111" spans="2:28"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</row>
    <row r="112" spans="2:28">
      <c r="B112" s="70" t="s">
        <v>767</v>
      </c>
      <c r="C112" s="71"/>
      <c r="D112" s="71">
        <f t="shared" ref="D112:J112" si="143">SUM(D107:D111)</f>
        <v>2306</v>
      </c>
      <c r="E112" s="71">
        <f t="shared" si="143"/>
        <v>1197.5999999999999</v>
      </c>
      <c r="F112" s="71">
        <f t="shared" si="143"/>
        <v>1886.34</v>
      </c>
      <c r="G112" s="71">
        <f t="shared" si="143"/>
        <v>2510.6999999999998</v>
      </c>
      <c r="H112" s="71">
        <f t="shared" si="143"/>
        <v>4578.28</v>
      </c>
      <c r="I112" s="71">
        <f t="shared" si="143"/>
        <v>7469.9</v>
      </c>
      <c r="J112" s="71">
        <f t="shared" si="143"/>
        <v>7887.72</v>
      </c>
      <c r="K112" s="71">
        <f t="shared" ref="K112:T112" si="144">K104+K67</f>
        <v>6754.48</v>
      </c>
      <c r="L112" s="71">
        <f t="shared" si="144"/>
        <v>7838.732</v>
      </c>
      <c r="M112" s="71">
        <f t="shared" si="144"/>
        <v>9213.2736399999994</v>
      </c>
      <c r="N112" s="71">
        <f t="shared" si="144"/>
        <v>9900.5641200000027</v>
      </c>
      <c r="O112" s="71">
        <f t="shared" si="144"/>
        <v>6820.1649999999991</v>
      </c>
      <c r="P112" s="71">
        <f t="shared" si="144"/>
        <v>9379.65</v>
      </c>
      <c r="Q112" s="71">
        <f t="shared" si="144"/>
        <v>8991.2000000000007</v>
      </c>
      <c r="R112" s="71">
        <f t="shared" si="144"/>
        <v>8487.869999999999</v>
      </c>
      <c r="S112" s="71">
        <f t="shared" si="144"/>
        <v>8422.4399999999987</v>
      </c>
      <c r="T112" s="71">
        <f t="shared" si="144"/>
        <v>8459.5886999999966</v>
      </c>
      <c r="U112" s="71">
        <f t="shared" ref="U112:AA112" si="145">U104+U67</f>
        <v>8637.1236915000081</v>
      </c>
      <c r="V112" s="71">
        <f t="shared" si="145"/>
        <v>8723.0410019400006</v>
      </c>
      <c r="W112" s="71">
        <f t="shared" si="145"/>
        <v>8809.8174854844074</v>
      </c>
      <c r="X112" s="71">
        <f t="shared" si="145"/>
        <v>8897.4617338642438</v>
      </c>
      <c r="Y112" s="71">
        <f t="shared" si="145"/>
        <v>8985.9824247278884</v>
      </c>
      <c r="Z112" s="71">
        <f t="shared" si="145"/>
        <v>9075.3883225001591</v>
      </c>
      <c r="AA112" s="71">
        <f t="shared" si="145"/>
        <v>9165.6882792501747</v>
      </c>
      <c r="AB112" s="71">
        <f t="shared" ref="AB112" si="146">AB104+AB67</f>
        <v>9256.8912355676766</v>
      </c>
    </row>
    <row r="114" spans="2:28">
      <c r="B114" s="70" t="s">
        <v>766</v>
      </c>
    </row>
    <row r="115" spans="2:28">
      <c r="B115" s="66" t="str">
        <f>B107</f>
        <v>AMX (Claro)</v>
      </c>
      <c r="C115" s="69"/>
      <c r="D115" s="69">
        <f t="shared" ref="D115:K117" si="147">D107/SUM(D$107:D$111)</f>
        <v>0.16825672159583693</v>
      </c>
      <c r="E115" s="69">
        <f t="shared" si="147"/>
        <v>0.28056112224448898</v>
      </c>
      <c r="F115" s="69">
        <f t="shared" si="147"/>
        <v>0.33437768376856769</v>
      </c>
      <c r="G115" s="69">
        <f t="shared" si="147"/>
        <v>0.44778348667702239</v>
      </c>
      <c r="H115" s="69">
        <f t="shared" si="147"/>
        <v>0.41642276138637219</v>
      </c>
      <c r="I115" s="69">
        <f t="shared" si="147"/>
        <v>0.39200658643355335</v>
      </c>
      <c r="J115" s="69">
        <f t="shared" si="147"/>
        <v>0.39133615290603618</v>
      </c>
      <c r="K115" s="69">
        <f t="shared" si="147"/>
        <v>0.43341604387014243</v>
      </c>
      <c r="L115" s="69">
        <f t="shared" ref="L115:N117" si="148">L107/SUM(L$107:L$111)</f>
        <v>0.44047302548422373</v>
      </c>
      <c r="M115" s="69">
        <f t="shared" si="148"/>
        <v>0.43301655371217218</v>
      </c>
      <c r="N115" s="69">
        <f t="shared" si="148"/>
        <v>0.44850979663166912</v>
      </c>
      <c r="O115" s="280">
        <f>N115</f>
        <v>0.44850979663166912</v>
      </c>
      <c r="P115" s="280">
        <f>O115-2%</f>
        <v>0.4285097966316691</v>
      </c>
      <c r="Q115" s="280">
        <f t="shared" ref="Q115:AB115" si="149">P115-2%</f>
        <v>0.40850979663166909</v>
      </c>
      <c r="R115" s="280">
        <f t="shared" si="149"/>
        <v>0.38850979663166907</v>
      </c>
      <c r="S115" s="280">
        <f t="shared" si="149"/>
        <v>0.36850979663166905</v>
      </c>
      <c r="T115" s="280">
        <f t="shared" si="149"/>
        <v>0.34850979663166903</v>
      </c>
      <c r="U115" s="280">
        <f t="shared" si="149"/>
        <v>0.32850979663166902</v>
      </c>
      <c r="V115" s="280">
        <f t="shared" si="149"/>
        <v>0.308509796631669</v>
      </c>
      <c r="W115" s="280">
        <f t="shared" si="149"/>
        <v>0.28850979663166898</v>
      </c>
      <c r="X115" s="280">
        <f t="shared" si="149"/>
        <v>0.26850979663166896</v>
      </c>
      <c r="Y115" s="280">
        <f t="shared" si="149"/>
        <v>0.24850979663166897</v>
      </c>
      <c r="Z115" s="280">
        <f t="shared" si="149"/>
        <v>0.22850979663166898</v>
      </c>
      <c r="AA115" s="280">
        <f t="shared" si="149"/>
        <v>0.20850979663166899</v>
      </c>
      <c r="AB115" s="280">
        <f t="shared" si="149"/>
        <v>0.188509796631669</v>
      </c>
    </row>
    <row r="116" spans="2:28">
      <c r="B116" s="66" t="str">
        <f>B108</f>
        <v>TEM (also formerly BLS)</v>
      </c>
      <c r="C116" s="69"/>
      <c r="D116" s="69">
        <f t="shared" si="147"/>
        <v>0.77536860364267124</v>
      </c>
      <c r="E116" s="69">
        <f t="shared" si="147"/>
        <v>0.68136272545090182</v>
      </c>
      <c r="F116" s="69">
        <f t="shared" si="147"/>
        <v>0.62833317429519597</v>
      </c>
      <c r="G116" s="69">
        <f t="shared" si="147"/>
        <v>0.51051499581789939</v>
      </c>
      <c r="H116" s="69">
        <f t="shared" si="147"/>
        <v>0.5506434730946993</v>
      </c>
      <c r="I116" s="69">
        <f t="shared" si="147"/>
        <v>0.58029558628629574</v>
      </c>
      <c r="J116" s="69">
        <f t="shared" si="147"/>
        <v>0.57091909956235765</v>
      </c>
      <c r="K116" s="69">
        <f t="shared" si="147"/>
        <v>0.51938861318709961</v>
      </c>
      <c r="L116" s="69">
        <f t="shared" si="148"/>
        <v>0.4992452860998437</v>
      </c>
      <c r="M116" s="69">
        <f t="shared" si="148"/>
        <v>0.50123063532497003</v>
      </c>
      <c r="N116" s="69">
        <f t="shared" si="148"/>
        <v>0.47453609138385144</v>
      </c>
      <c r="O116" s="69">
        <f t="shared" ref="O116:T116" si="150">O120-O117-O115</f>
        <v>0.47649020336833092</v>
      </c>
      <c r="P116" s="69">
        <f t="shared" si="150"/>
        <v>0.52149020336833085</v>
      </c>
      <c r="Q116" s="69">
        <f t="shared" si="150"/>
        <v>0.34149020336833091</v>
      </c>
      <c r="R116" s="69">
        <f t="shared" si="150"/>
        <v>0.28149020336833086</v>
      </c>
      <c r="S116" s="69">
        <f t="shared" si="150"/>
        <v>0.26149020336833095</v>
      </c>
      <c r="T116" s="69">
        <f t="shared" si="150"/>
        <v>0.35149020336833092</v>
      </c>
      <c r="U116" s="69">
        <f t="shared" ref="U116:AA116" si="151">U120-U117-U115</f>
        <v>0.42149020336833098</v>
      </c>
      <c r="V116" s="69">
        <f t="shared" si="151"/>
        <v>0.441490203368331</v>
      </c>
      <c r="W116" s="69">
        <f t="shared" si="151"/>
        <v>0.46149020336833102</v>
      </c>
      <c r="X116" s="69">
        <f t="shared" si="151"/>
        <v>0.48149020336833104</v>
      </c>
      <c r="Y116" s="69">
        <f t="shared" si="151"/>
        <v>0.50149020336833106</v>
      </c>
      <c r="Z116" s="69">
        <f t="shared" si="151"/>
        <v>0.52149020336833107</v>
      </c>
      <c r="AA116" s="69">
        <f t="shared" si="151"/>
        <v>0.54149020336833098</v>
      </c>
      <c r="AB116" s="69">
        <f t="shared" ref="AB116" si="152">AB120-AB117-AB115</f>
        <v>0.561490203368331</v>
      </c>
    </row>
    <row r="117" spans="2:28">
      <c r="B117" s="66" t="s">
        <v>133</v>
      </c>
      <c r="C117" s="69"/>
      <c r="D117" s="68">
        <f t="shared" si="147"/>
        <v>5.6374674761491758E-2</v>
      </c>
      <c r="E117" s="68">
        <f t="shared" si="147"/>
        <v>3.8076152304609222E-2</v>
      </c>
      <c r="F117" s="68">
        <f t="shared" si="147"/>
        <v>3.7289141936236316E-2</v>
      </c>
      <c r="G117" s="68">
        <f t="shared" si="147"/>
        <v>4.1701517505078271E-2</v>
      </c>
      <c r="H117" s="68">
        <f t="shared" si="147"/>
        <v>3.2933765518928508E-2</v>
      </c>
      <c r="I117" s="68">
        <f t="shared" si="147"/>
        <v>2.7697827280151008E-2</v>
      </c>
      <c r="J117" s="68">
        <f t="shared" si="147"/>
        <v>3.7744747531606095E-2</v>
      </c>
      <c r="K117" s="68">
        <f t="shared" si="147"/>
        <v>4.7195342942757991E-2</v>
      </c>
      <c r="L117" s="68">
        <f t="shared" si="148"/>
        <v>6.028168841593258E-2</v>
      </c>
      <c r="M117" s="68">
        <f t="shared" si="148"/>
        <v>6.5752810962857719E-2</v>
      </c>
      <c r="N117" s="68">
        <f t="shared" si="148"/>
        <v>7.6954111984479545E-2</v>
      </c>
      <c r="O117" s="111">
        <v>7.4999999999999997E-2</v>
      </c>
      <c r="P117" s="111">
        <v>0.05</v>
      </c>
      <c r="Q117" s="111">
        <v>0.25</v>
      </c>
      <c r="R117" s="111">
        <v>0.33</v>
      </c>
      <c r="S117" s="111">
        <v>0.37</v>
      </c>
      <c r="T117" s="111">
        <v>0.3</v>
      </c>
      <c r="U117" s="111">
        <v>0.25</v>
      </c>
      <c r="V117" s="111">
        <v>0.25</v>
      </c>
      <c r="W117" s="111">
        <v>0.25</v>
      </c>
      <c r="X117" s="111">
        <v>0.25</v>
      </c>
      <c r="Y117" s="111">
        <v>0.25</v>
      </c>
      <c r="Z117" s="111">
        <v>0.25</v>
      </c>
      <c r="AA117" s="111">
        <v>0.25</v>
      </c>
      <c r="AB117" s="111">
        <v>0.25</v>
      </c>
    </row>
    <row r="118" spans="2:28"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</row>
    <row r="119" spans="2:28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</row>
    <row r="120" spans="2:28">
      <c r="B120" s="66" t="s">
        <v>68</v>
      </c>
      <c r="C120" s="69"/>
      <c r="D120" s="69">
        <f t="shared" ref="D120:J120" si="153">SUM(D115:D119)</f>
        <v>0.99999999999999989</v>
      </c>
      <c r="E120" s="69">
        <f t="shared" si="153"/>
        <v>1</v>
      </c>
      <c r="F120" s="69">
        <f t="shared" si="153"/>
        <v>1</v>
      </c>
      <c r="G120" s="69">
        <f t="shared" si="153"/>
        <v>1</v>
      </c>
      <c r="H120" s="69">
        <f t="shared" si="153"/>
        <v>0.99999999999999989</v>
      </c>
      <c r="I120" s="69">
        <f t="shared" si="153"/>
        <v>1</v>
      </c>
      <c r="J120" s="69">
        <f t="shared" si="153"/>
        <v>0.99999999999999989</v>
      </c>
      <c r="K120" s="69">
        <v>1</v>
      </c>
      <c r="L120" s="69">
        <v>1</v>
      </c>
      <c r="M120" s="69">
        <v>1</v>
      </c>
      <c r="N120" s="69">
        <v>1</v>
      </c>
      <c r="O120" s="69">
        <v>1</v>
      </c>
      <c r="P120" s="69">
        <v>1</v>
      </c>
      <c r="Q120" s="69">
        <v>1</v>
      </c>
      <c r="R120" s="69">
        <v>1</v>
      </c>
      <c r="S120" s="69">
        <v>1</v>
      </c>
      <c r="T120" s="69">
        <v>1</v>
      </c>
      <c r="U120" s="69">
        <v>1</v>
      </c>
      <c r="V120" s="69">
        <v>1</v>
      </c>
      <c r="W120" s="69">
        <v>1</v>
      </c>
      <c r="X120" s="69">
        <v>1</v>
      </c>
      <c r="Y120" s="69">
        <v>1</v>
      </c>
      <c r="Z120" s="69">
        <v>1</v>
      </c>
      <c r="AA120" s="69">
        <v>1</v>
      </c>
      <c r="AB120" s="69">
        <v>1</v>
      </c>
    </row>
    <row r="122" spans="2:28">
      <c r="B122" s="279" t="s">
        <v>765</v>
      </c>
      <c r="C122" s="279">
        <f t="shared" ref="C122:T122" si="154">C2</f>
        <v>2001</v>
      </c>
      <c r="D122" s="279">
        <f t="shared" si="154"/>
        <v>2002</v>
      </c>
      <c r="E122" s="279">
        <f t="shared" si="154"/>
        <v>2003</v>
      </c>
      <c r="F122" s="279">
        <f t="shared" si="154"/>
        <v>2004</v>
      </c>
      <c r="G122" s="279">
        <f t="shared" si="154"/>
        <v>2005</v>
      </c>
      <c r="H122" s="279">
        <f t="shared" si="154"/>
        <v>2006</v>
      </c>
      <c r="I122" s="279">
        <f t="shared" si="154"/>
        <v>2007</v>
      </c>
      <c r="J122" s="279">
        <f t="shared" si="154"/>
        <v>2008</v>
      </c>
      <c r="K122" s="279">
        <f t="shared" si="154"/>
        <v>2009</v>
      </c>
      <c r="L122" s="279">
        <f t="shared" si="154"/>
        <v>2010</v>
      </c>
      <c r="M122" s="279">
        <f t="shared" si="154"/>
        <v>2011</v>
      </c>
      <c r="N122" s="279">
        <f t="shared" si="154"/>
        <v>2012</v>
      </c>
      <c r="O122" s="279">
        <f t="shared" si="154"/>
        <v>2013</v>
      </c>
      <c r="P122" s="279">
        <f t="shared" si="154"/>
        <v>2014</v>
      </c>
      <c r="Q122" s="279">
        <f t="shared" si="154"/>
        <v>2015</v>
      </c>
      <c r="R122" s="279">
        <f t="shared" si="154"/>
        <v>2016</v>
      </c>
      <c r="S122" s="279">
        <f t="shared" si="154"/>
        <v>2017</v>
      </c>
      <c r="T122" s="279">
        <f t="shared" si="154"/>
        <v>2018</v>
      </c>
      <c r="U122" s="279">
        <f t="shared" ref="U122:AA122" si="155">U2</f>
        <v>2019</v>
      </c>
      <c r="V122" s="279">
        <f t="shared" si="155"/>
        <v>2020</v>
      </c>
      <c r="W122" s="279">
        <f t="shared" si="155"/>
        <v>2021</v>
      </c>
      <c r="X122" s="279">
        <f t="shared" si="155"/>
        <v>2022</v>
      </c>
      <c r="Y122" s="279">
        <f t="shared" si="155"/>
        <v>2023</v>
      </c>
      <c r="Z122" s="279">
        <f t="shared" si="155"/>
        <v>2024</v>
      </c>
      <c r="AA122" s="279">
        <f t="shared" si="155"/>
        <v>2025</v>
      </c>
      <c r="AB122" s="279">
        <f t="shared" ref="AB122" si="156">AB2</f>
        <v>2026</v>
      </c>
    </row>
    <row r="123" spans="2:28">
      <c r="H123" s="68"/>
    </row>
    <row r="124" spans="2:28">
      <c r="B124" s="66" t="s">
        <v>72</v>
      </c>
      <c r="C124" s="67">
        <v>0</v>
      </c>
      <c r="D124" s="67">
        <f t="shared" ref="D124:AB124" si="157">C125</f>
        <v>0</v>
      </c>
      <c r="E124" s="67">
        <f t="shared" si="157"/>
        <v>130</v>
      </c>
      <c r="F124" s="67">
        <f t="shared" si="157"/>
        <v>147</v>
      </c>
      <c r="G124" s="67">
        <f t="shared" si="157"/>
        <v>185</v>
      </c>
      <c r="H124" s="67">
        <f t="shared" si="157"/>
        <v>249</v>
      </c>
      <c r="I124" s="67">
        <f t="shared" si="157"/>
        <v>345</v>
      </c>
      <c r="J124" s="67">
        <f t="shared" si="157"/>
        <v>476</v>
      </c>
      <c r="K124" s="67">
        <f t="shared" si="157"/>
        <v>669</v>
      </c>
      <c r="L124" s="67">
        <f t="shared" si="157"/>
        <v>840.6</v>
      </c>
      <c r="M124" s="67">
        <f t="shared" si="157"/>
        <v>1128.2</v>
      </c>
      <c r="N124" s="67">
        <f t="shared" si="157"/>
        <v>1434.8</v>
      </c>
      <c r="O124" s="67">
        <f t="shared" si="157"/>
        <v>1659.5</v>
      </c>
      <c r="P124" s="67">
        <f t="shared" si="157"/>
        <v>1556</v>
      </c>
      <c r="Q124" s="67">
        <f>P125</f>
        <v>1738</v>
      </c>
      <c r="R124" s="67">
        <f t="shared" si="157"/>
        <v>3129</v>
      </c>
      <c r="S124" s="67">
        <f t="shared" si="157"/>
        <v>4820</v>
      </c>
      <c r="T124" s="67">
        <f t="shared" si="157"/>
        <v>6543</v>
      </c>
      <c r="U124" s="67">
        <f t="shared" si="157"/>
        <v>7815</v>
      </c>
      <c r="V124" s="67">
        <f t="shared" si="157"/>
        <v>8020.5309228750011</v>
      </c>
      <c r="W124" s="67">
        <f t="shared" si="157"/>
        <v>8196.1584426412519</v>
      </c>
      <c r="X124" s="67">
        <f t="shared" si="157"/>
        <v>8349.5732033520417</v>
      </c>
      <c r="Y124" s="67">
        <f t="shared" si="157"/>
        <v>8486.5453359800922</v>
      </c>
      <c r="Z124" s="67">
        <f t="shared" si="157"/>
        <v>8611.4046081670422</v>
      </c>
      <c r="AA124" s="67">
        <f t="shared" si="157"/>
        <v>8727.4005367503232</v>
      </c>
      <c r="AB124" s="67">
        <f t="shared" si="157"/>
        <v>8836.9724723752843</v>
      </c>
    </row>
    <row r="125" spans="2:28">
      <c r="B125" s="113" t="s">
        <v>73</v>
      </c>
      <c r="C125" s="295">
        <f t="shared" ref="C125:T125" si="158">C62</f>
        <v>0</v>
      </c>
      <c r="D125" s="295">
        <f t="shared" si="158"/>
        <v>130</v>
      </c>
      <c r="E125" s="295">
        <f t="shared" si="158"/>
        <v>147</v>
      </c>
      <c r="F125" s="295">
        <f t="shared" si="158"/>
        <v>185</v>
      </c>
      <c r="G125" s="295">
        <f t="shared" si="158"/>
        <v>249</v>
      </c>
      <c r="H125" s="295">
        <f t="shared" si="158"/>
        <v>345</v>
      </c>
      <c r="I125" s="295">
        <f t="shared" si="158"/>
        <v>476</v>
      </c>
      <c r="J125" s="295">
        <f t="shared" si="158"/>
        <v>669</v>
      </c>
      <c r="K125" s="295">
        <f t="shared" si="158"/>
        <v>840.6</v>
      </c>
      <c r="L125" s="295">
        <f t="shared" si="158"/>
        <v>1128.2</v>
      </c>
      <c r="M125" s="295">
        <f t="shared" si="158"/>
        <v>1434.8</v>
      </c>
      <c r="N125" s="295">
        <f t="shared" si="158"/>
        <v>1659.5</v>
      </c>
      <c r="O125" s="295">
        <f t="shared" si="158"/>
        <v>1556</v>
      </c>
      <c r="P125" s="295">
        <f t="shared" si="158"/>
        <v>1738</v>
      </c>
      <c r="Q125" s="295">
        <f>Q62</f>
        <v>3129</v>
      </c>
      <c r="R125" s="295">
        <f t="shared" si="158"/>
        <v>4820</v>
      </c>
      <c r="S125" s="295">
        <f t="shared" si="158"/>
        <v>6543</v>
      </c>
      <c r="T125" s="295">
        <f t="shared" si="158"/>
        <v>7815</v>
      </c>
      <c r="U125" s="295">
        <f t="shared" ref="U125:AA125" si="159">U62</f>
        <v>8020.5309228750011</v>
      </c>
      <c r="V125" s="295">
        <f t="shared" si="159"/>
        <v>8196.1584426412519</v>
      </c>
      <c r="W125" s="295">
        <f t="shared" si="159"/>
        <v>8349.5732033520417</v>
      </c>
      <c r="X125" s="295">
        <f t="shared" si="159"/>
        <v>8486.5453359800922</v>
      </c>
      <c r="Y125" s="295">
        <f t="shared" si="159"/>
        <v>8611.4046081670422</v>
      </c>
      <c r="Z125" s="295">
        <f t="shared" si="159"/>
        <v>8727.4005367503232</v>
      </c>
      <c r="AA125" s="295">
        <f t="shared" si="159"/>
        <v>8836.9724723752843</v>
      </c>
      <c r="AB125" s="295">
        <f t="shared" ref="AB125" si="160">AB62</f>
        <v>8941.9521631733805</v>
      </c>
    </row>
    <row r="126" spans="2:28">
      <c r="B126" s="66" t="s">
        <v>74</v>
      </c>
      <c r="C126" s="277">
        <f t="shared" ref="C126:T126" si="161">(C124+C125)/2</f>
        <v>0</v>
      </c>
      <c r="D126" s="277">
        <f t="shared" si="161"/>
        <v>65</v>
      </c>
      <c r="E126" s="277">
        <f t="shared" si="161"/>
        <v>138.5</v>
      </c>
      <c r="F126" s="277">
        <f t="shared" si="161"/>
        <v>166</v>
      </c>
      <c r="G126" s="277">
        <f t="shared" si="161"/>
        <v>217</v>
      </c>
      <c r="H126" s="277">
        <f t="shared" si="161"/>
        <v>297</v>
      </c>
      <c r="I126" s="277">
        <f t="shared" si="161"/>
        <v>410.5</v>
      </c>
      <c r="J126" s="277">
        <f t="shared" si="161"/>
        <v>572.5</v>
      </c>
      <c r="K126" s="277">
        <f t="shared" si="161"/>
        <v>754.8</v>
      </c>
      <c r="L126" s="277">
        <f t="shared" si="161"/>
        <v>984.40000000000009</v>
      </c>
      <c r="M126" s="277">
        <f t="shared" si="161"/>
        <v>1281.5</v>
      </c>
      <c r="N126" s="277">
        <f t="shared" si="161"/>
        <v>1547.15</v>
      </c>
      <c r="O126" s="277">
        <f t="shared" si="161"/>
        <v>1607.75</v>
      </c>
      <c r="P126" s="277">
        <f t="shared" si="161"/>
        <v>1647</v>
      </c>
      <c r="Q126" s="277">
        <f>(Q124+Q125)/2</f>
        <v>2433.5</v>
      </c>
      <c r="R126" s="277">
        <f t="shared" si="161"/>
        <v>3974.5</v>
      </c>
      <c r="S126" s="277">
        <f t="shared" si="161"/>
        <v>5681.5</v>
      </c>
      <c r="T126" s="277">
        <f t="shared" si="161"/>
        <v>7179</v>
      </c>
      <c r="U126" s="277">
        <f t="shared" ref="U126:AA126" si="162">(U124+U125)/2</f>
        <v>7917.7654614375006</v>
      </c>
      <c r="V126" s="277">
        <f t="shared" si="162"/>
        <v>8108.3446827581265</v>
      </c>
      <c r="W126" s="277">
        <f t="shared" si="162"/>
        <v>8272.8658229966459</v>
      </c>
      <c r="X126" s="277">
        <f t="shared" si="162"/>
        <v>8418.0592696660678</v>
      </c>
      <c r="Y126" s="277">
        <f t="shared" si="162"/>
        <v>8548.9749720735672</v>
      </c>
      <c r="Z126" s="277">
        <f t="shared" si="162"/>
        <v>8669.4025724586827</v>
      </c>
      <c r="AA126" s="277">
        <f t="shared" si="162"/>
        <v>8782.1865045628037</v>
      </c>
      <c r="AB126" s="277">
        <f t="shared" ref="AB126" si="163">(AB124+AB125)/2</f>
        <v>8889.4623177743324</v>
      </c>
    </row>
    <row r="127" spans="2:28">
      <c r="B127" s="66" t="s">
        <v>63</v>
      </c>
      <c r="C127" s="277"/>
      <c r="D127" s="283" t="e">
        <f t="shared" ref="D127:AB127" si="164">D126/C126-1</f>
        <v>#DIV/0!</v>
      </c>
      <c r="E127" s="283">
        <f t="shared" si="164"/>
        <v>1.1307692307692307</v>
      </c>
      <c r="F127" s="283">
        <f t="shared" si="164"/>
        <v>0.1985559566787003</v>
      </c>
      <c r="G127" s="283">
        <f t="shared" si="164"/>
        <v>0.30722891566265065</v>
      </c>
      <c r="H127" s="283">
        <f t="shared" si="164"/>
        <v>0.36866359447004604</v>
      </c>
      <c r="I127" s="283">
        <f t="shared" si="164"/>
        <v>0.38215488215488214</v>
      </c>
      <c r="J127" s="283">
        <f t="shared" si="164"/>
        <v>0.39464068209500613</v>
      </c>
      <c r="K127" s="283">
        <f t="shared" si="164"/>
        <v>0.31842794759825321</v>
      </c>
      <c r="L127" s="283">
        <f t="shared" si="164"/>
        <v>0.30418653948065733</v>
      </c>
      <c r="M127" s="283">
        <f t="shared" si="164"/>
        <v>0.30180820804550978</v>
      </c>
      <c r="N127" s="283">
        <f t="shared" si="164"/>
        <v>0.20729613733905583</v>
      </c>
      <c r="O127" s="283">
        <f t="shared" si="164"/>
        <v>3.9168794234560211E-2</v>
      </c>
      <c r="P127" s="283">
        <f t="shared" si="164"/>
        <v>2.4412999533509616E-2</v>
      </c>
      <c r="Q127" s="283">
        <f>Q126/P126-1</f>
        <v>0.4775349119611414</v>
      </c>
      <c r="R127" s="283">
        <f t="shared" si="164"/>
        <v>0.63324429833573048</v>
      </c>
      <c r="S127" s="283">
        <f t="shared" si="164"/>
        <v>0.42948798591017745</v>
      </c>
      <c r="T127" s="283">
        <f t="shared" si="164"/>
        <v>0.26357476018657056</v>
      </c>
      <c r="U127" s="283">
        <f t="shared" si="164"/>
        <v>0.10290645792415387</v>
      </c>
      <c r="V127" s="283">
        <f t="shared" si="164"/>
        <v>2.4069824024065767E-2</v>
      </c>
      <c r="W127" s="283">
        <f t="shared" si="164"/>
        <v>2.0290348606955888E-2</v>
      </c>
      <c r="X127" s="283">
        <f t="shared" si="164"/>
        <v>1.7550562256892555E-2</v>
      </c>
      <c r="Y127" s="283">
        <f t="shared" si="164"/>
        <v>1.5551767719104381E-2</v>
      </c>
      <c r="Z127" s="283">
        <f t="shared" si="164"/>
        <v>1.4086788273273587E-2</v>
      </c>
      <c r="AA127" s="283">
        <f t="shared" si="164"/>
        <v>1.3009423793793884E-2</v>
      </c>
      <c r="AB127" s="283">
        <f t="shared" si="164"/>
        <v>1.2215159989575897E-2</v>
      </c>
    </row>
    <row r="129" spans="2:28">
      <c r="B129" s="66" t="s">
        <v>764</v>
      </c>
      <c r="C129" s="294"/>
      <c r="D129" s="294"/>
      <c r="E129" s="294"/>
      <c r="F129" s="277">
        <f t="shared" ref="F129:N129" si="165">F136/AVERAGE(E125:F125)/12*1000</f>
        <v>148.93072289156629</v>
      </c>
      <c r="G129" s="277">
        <f t="shared" si="165"/>
        <v>127.9953917050691</v>
      </c>
      <c r="H129" s="277">
        <f t="shared" si="165"/>
        <v>118.35858585858584</v>
      </c>
      <c r="I129" s="277">
        <f t="shared" si="165"/>
        <v>105.14007308160782</v>
      </c>
      <c r="J129" s="277">
        <f t="shared" si="165"/>
        <v>87.132459970887922</v>
      </c>
      <c r="K129" s="277">
        <f t="shared" si="165"/>
        <v>73.442192192192181</v>
      </c>
      <c r="L129" s="277">
        <f t="shared" si="165"/>
        <v>61.935296656224942</v>
      </c>
      <c r="M129" s="277">
        <f t="shared" si="165"/>
        <v>53.040057224606585</v>
      </c>
      <c r="N129" s="276">
        <f t="shared" si="165"/>
        <v>41.208674013508713</v>
      </c>
      <c r="O129" s="276">
        <f t="shared" ref="O129:AB129" si="166">(1+O130)*N129</f>
        <v>34.615286171347314</v>
      </c>
      <c r="P129" s="276">
        <f t="shared" si="166"/>
        <v>33.749904017063628</v>
      </c>
      <c r="Q129" s="276">
        <f ca="1">Q136/Q126/12*1000</f>
        <v>31.387410735869167</v>
      </c>
      <c r="R129" s="276">
        <f ca="1">R136/R126/12*1000</f>
        <v>28.876417876999643</v>
      </c>
      <c r="S129" s="276">
        <f ca="1">S136/S126/12*1000</f>
        <v>26.160801693795722</v>
      </c>
      <c r="T129" s="276">
        <f ca="1">T136/T126/12*1000</f>
        <v>18.335474539839936</v>
      </c>
      <c r="U129" s="276">
        <f t="shared" ca="1" si="166"/>
        <v>18.197958480791137</v>
      </c>
      <c r="V129" s="276">
        <f t="shared" ca="1" si="166"/>
        <v>20.01775432887025</v>
      </c>
      <c r="W129" s="276">
        <f t="shared" ca="1" si="166"/>
        <v>20.818464502025062</v>
      </c>
      <c r="X129" s="276">
        <f t="shared" ca="1" si="166"/>
        <v>21.234833792065565</v>
      </c>
      <c r="Y129" s="276">
        <f t="shared" ca="1" si="166"/>
        <v>21.871878805827532</v>
      </c>
      <c r="Z129" s="276">
        <f t="shared" ca="1" si="166"/>
        <v>22.528035170002358</v>
      </c>
      <c r="AA129" s="276">
        <f t="shared" ca="1" si="166"/>
        <v>23.20387622510243</v>
      </c>
      <c r="AB129" s="276">
        <f t="shared" ca="1" si="166"/>
        <v>23.899992511855505</v>
      </c>
    </row>
    <row r="130" spans="2:28">
      <c r="B130" s="66" t="s">
        <v>63</v>
      </c>
      <c r="C130" s="68"/>
      <c r="D130" s="68" t="e">
        <f t="shared" ref="D130:N130" si="167">D129/C129-1</f>
        <v>#DIV/0!</v>
      </c>
      <c r="E130" s="68" t="e">
        <f t="shared" si="167"/>
        <v>#DIV/0!</v>
      </c>
      <c r="F130" s="68" t="e">
        <f t="shared" si="167"/>
        <v>#DIV/0!</v>
      </c>
      <c r="G130" s="68">
        <f t="shared" si="167"/>
        <v>-0.14057093647319385</v>
      </c>
      <c r="H130" s="68">
        <f t="shared" si="167"/>
        <v>-7.5290256298357061E-2</v>
      </c>
      <c r="I130" s="68">
        <f t="shared" si="167"/>
        <v>-0.11168190867683581</v>
      </c>
      <c r="J130" s="68">
        <f t="shared" si="167"/>
        <v>-0.17127259457716681</v>
      </c>
      <c r="K130" s="68">
        <f t="shared" si="167"/>
        <v>-0.15712017981897719</v>
      </c>
      <c r="L130" s="68">
        <f t="shared" si="167"/>
        <v>-0.15667963050251332</v>
      </c>
      <c r="M130" s="68">
        <f t="shared" si="167"/>
        <v>-0.14362148745313741</v>
      </c>
      <c r="N130" s="68">
        <f t="shared" si="167"/>
        <v>-0.22306505366304552</v>
      </c>
      <c r="O130" s="290">
        <v>-0.16</v>
      </c>
      <c r="P130" s="290">
        <v>-2.5000000000000001E-2</v>
      </c>
      <c r="Q130" s="291">
        <f ca="1">Q129/P129-1</f>
        <v>-7.0000000000000173E-2</v>
      </c>
      <c r="R130" s="291">
        <f ca="1">R129/Q129-1</f>
        <v>-7.9999999999999738E-2</v>
      </c>
      <c r="S130" s="291">
        <f ca="1">S129/R129-1</f>
        <v>-9.4042695834753665E-2</v>
      </c>
      <c r="T130" s="291">
        <f ca="1">T129/S129-1</f>
        <v>-0.2991241340976043</v>
      </c>
      <c r="U130" s="290">
        <v>-7.4999999999999997E-3</v>
      </c>
      <c r="V130" s="290">
        <v>0.1</v>
      </c>
      <c r="W130" s="290">
        <v>0.04</v>
      </c>
      <c r="X130" s="290">
        <v>0.02</v>
      </c>
      <c r="Y130" s="290">
        <v>0.03</v>
      </c>
      <c r="Z130" s="290">
        <v>0.03</v>
      </c>
      <c r="AA130" s="290">
        <v>0.03</v>
      </c>
      <c r="AB130" s="290">
        <v>0.03</v>
      </c>
    </row>
    <row r="131" spans="2:28">
      <c r="B131" s="66" t="s">
        <v>763</v>
      </c>
      <c r="C131" s="293">
        <v>3.51</v>
      </c>
      <c r="D131" s="293">
        <v>3.52</v>
      </c>
      <c r="E131" s="293">
        <v>3.48</v>
      </c>
      <c r="F131" s="293">
        <v>3.41</v>
      </c>
      <c r="G131" s="293">
        <v>3.3</v>
      </c>
      <c r="H131" s="293">
        <v>3.27</v>
      </c>
      <c r="I131" s="293">
        <v>3.12</v>
      </c>
      <c r="J131" s="293">
        <v>2.92</v>
      </c>
      <c r="K131" s="293">
        <v>3.01</v>
      </c>
      <c r="L131" s="293">
        <v>2.8248234453307108</v>
      </c>
      <c r="M131" s="293">
        <v>2.75</v>
      </c>
      <c r="N131" s="293">
        <v>2.64</v>
      </c>
      <c r="O131" s="292">
        <f>'Master old'!O139</f>
        <v>2.7</v>
      </c>
      <c r="P131" s="292">
        <f>'Master old'!P139</f>
        <v>2.84</v>
      </c>
      <c r="Q131" s="292">
        <f>'Master old'!Q139</f>
        <v>3.19</v>
      </c>
      <c r="R131" s="292">
        <f>'Master old'!R139</f>
        <v>3.37</v>
      </c>
      <c r="S131" s="292">
        <f>'Master old'!S139</f>
        <v>3.26</v>
      </c>
      <c r="T131" s="292">
        <f>'Master old'!T139</f>
        <v>3.29</v>
      </c>
      <c r="U131" s="292">
        <f>'Master old'!U139</f>
        <v>3.34</v>
      </c>
      <c r="V131" s="292">
        <f>'Master old'!V139</f>
        <v>3.36</v>
      </c>
      <c r="W131" s="292">
        <f>'Master old'!W139</f>
        <v>3.4439999999999995</v>
      </c>
      <c r="X131" s="292">
        <f>'Master old'!X139</f>
        <v>3.5300999999999991</v>
      </c>
      <c r="Y131" s="292">
        <f>'Master old'!Y139</f>
        <v>3.618352499999999</v>
      </c>
      <c r="Z131" s="292">
        <f>'Master old'!Z139</f>
        <v>3.7088113124999986</v>
      </c>
      <c r="AA131" s="292">
        <f>'Master old'!AA139</f>
        <v>3.8015315953124982</v>
      </c>
      <c r="AB131" s="292">
        <f>'Master old'!AB139</f>
        <v>3.8965698851953103</v>
      </c>
    </row>
    <row r="132" spans="2:28">
      <c r="B132" s="66" t="s">
        <v>762</v>
      </c>
      <c r="C132" s="68"/>
      <c r="D132" s="291">
        <f t="shared" ref="D132:Q132" si="168">D131/C131-1</f>
        <v>2.8490028490029129E-3</v>
      </c>
      <c r="E132" s="291">
        <f t="shared" si="168"/>
        <v>-1.1363636363636354E-2</v>
      </c>
      <c r="F132" s="291">
        <f t="shared" si="168"/>
        <v>-2.011494252873558E-2</v>
      </c>
      <c r="G132" s="291">
        <f t="shared" si="168"/>
        <v>-3.2258064516129115E-2</v>
      </c>
      <c r="H132" s="291">
        <f t="shared" si="168"/>
        <v>-9.0909090909090384E-3</v>
      </c>
      <c r="I132" s="291">
        <f t="shared" si="168"/>
        <v>-4.587155963302747E-2</v>
      </c>
      <c r="J132" s="291">
        <f t="shared" si="168"/>
        <v>-6.4102564102564208E-2</v>
      </c>
      <c r="K132" s="291">
        <f t="shared" si="168"/>
        <v>3.082191780821919E-2</v>
      </c>
      <c r="L132" s="291">
        <f t="shared" si="168"/>
        <v>-6.1520450056242182E-2</v>
      </c>
      <c r="M132" s="291">
        <f t="shared" si="168"/>
        <v>-2.6487830754304387E-2</v>
      </c>
      <c r="N132" s="291">
        <f t="shared" si="168"/>
        <v>-3.9999999999999925E-2</v>
      </c>
      <c r="O132" s="291">
        <f t="shared" si="168"/>
        <v>2.2727272727272707E-2</v>
      </c>
      <c r="P132" s="291">
        <f t="shared" si="168"/>
        <v>5.1851851851851816E-2</v>
      </c>
      <c r="Q132" s="291">
        <f t="shared" si="168"/>
        <v>0.12323943661971826</v>
      </c>
      <c r="R132" s="291">
        <f t="shared" ref="R132" si="169">R131/Q131-1</f>
        <v>5.6426332288401326E-2</v>
      </c>
      <c r="S132" s="291">
        <f t="shared" ref="S132" si="170">S131/R131-1</f>
        <v>-3.264094955489627E-2</v>
      </c>
      <c r="T132" s="291">
        <f t="shared" ref="T132" si="171">T131/S131-1</f>
        <v>9.2024539877302303E-3</v>
      </c>
      <c r="U132" s="291">
        <f t="shared" ref="U132" si="172">U131/T131-1</f>
        <v>1.5197568389057725E-2</v>
      </c>
      <c r="V132" s="291">
        <f t="shared" ref="V132:AB132" si="173">V131/U131-1</f>
        <v>5.9880239520957446E-3</v>
      </c>
      <c r="W132" s="291">
        <f t="shared" si="173"/>
        <v>2.4999999999999911E-2</v>
      </c>
      <c r="X132" s="291">
        <f t="shared" si="173"/>
        <v>2.4999999999999911E-2</v>
      </c>
      <c r="Y132" s="291">
        <f t="shared" si="173"/>
        <v>2.4999999999999911E-2</v>
      </c>
      <c r="Z132" s="291">
        <f t="shared" si="173"/>
        <v>2.4999999999999911E-2</v>
      </c>
      <c r="AA132" s="291">
        <f t="shared" si="173"/>
        <v>2.4999999999999911E-2</v>
      </c>
      <c r="AB132" s="291">
        <f t="shared" si="173"/>
        <v>2.4999999999999911E-2</v>
      </c>
    </row>
    <row r="133" spans="2:28">
      <c r="B133" s="66" t="s">
        <v>761</v>
      </c>
      <c r="C133" s="276">
        <f t="shared" ref="C133:T133" si="174">C129/C131</f>
        <v>0</v>
      </c>
      <c r="D133" s="276">
        <f t="shared" si="174"/>
        <v>0</v>
      </c>
      <c r="E133" s="276">
        <f t="shared" si="174"/>
        <v>0</v>
      </c>
      <c r="F133" s="276">
        <f t="shared" si="174"/>
        <v>43.674698795180731</v>
      </c>
      <c r="G133" s="276">
        <f t="shared" si="174"/>
        <v>38.786482334869426</v>
      </c>
      <c r="H133" s="276">
        <f t="shared" si="174"/>
        <v>36.195286195286187</v>
      </c>
      <c r="I133" s="277">
        <f t="shared" si="174"/>
        <v>33.698741372310202</v>
      </c>
      <c r="J133" s="277">
        <f t="shared" si="174"/>
        <v>29.839883551673946</v>
      </c>
      <c r="K133" s="277">
        <f t="shared" si="174"/>
        <v>24.399399399399396</v>
      </c>
      <c r="L133" s="277">
        <f t="shared" si="174"/>
        <v>21.925369091155353</v>
      </c>
      <c r="M133" s="277">
        <f t="shared" si="174"/>
        <v>19.287293536220577</v>
      </c>
      <c r="N133" s="277">
        <f t="shared" si="174"/>
        <v>15.609346217238148</v>
      </c>
      <c r="O133" s="277">
        <f t="shared" si="174"/>
        <v>12.820476359758263</v>
      </c>
      <c r="P133" s="277">
        <f t="shared" si="174"/>
        <v>11.883769020092828</v>
      </c>
      <c r="Q133" s="277">
        <f t="shared" ca="1" si="174"/>
        <v>9.8393137103038146</v>
      </c>
      <c r="R133" s="277">
        <f t="shared" ca="1" si="174"/>
        <v>8.5686699931749679</v>
      </c>
      <c r="S133" s="277">
        <f t="shared" ca="1" si="174"/>
        <v>8.0247857956428597</v>
      </c>
      <c r="T133" s="277">
        <f t="shared" ca="1" si="174"/>
        <v>5.5730925653008923</v>
      </c>
      <c r="U133" s="277">
        <f t="shared" ref="U133:AA133" ca="1" si="175">U129/U131</f>
        <v>5.4484905631111191</v>
      </c>
      <c r="V133" s="277">
        <f t="shared" ca="1" si="175"/>
        <v>5.9576649788304321</v>
      </c>
      <c r="W133" s="277">
        <f t="shared" ca="1" si="175"/>
        <v>6.0448503199840493</v>
      </c>
      <c r="X133" s="277">
        <f t="shared" ca="1" si="175"/>
        <v>6.0153632452524208</v>
      </c>
      <c r="Y133" s="277">
        <f t="shared" ca="1" si="175"/>
        <v>6.0447064805951154</v>
      </c>
      <c r="Z133" s="277">
        <f t="shared" ca="1" si="175"/>
        <v>6.0741928536711898</v>
      </c>
      <c r="AA133" s="277">
        <f t="shared" ca="1" si="175"/>
        <v>6.1038230627134897</v>
      </c>
      <c r="AB133" s="277">
        <f t="shared" ref="AB133" ca="1" si="176">AB129/AB131</f>
        <v>6.1335978093608734</v>
      </c>
    </row>
    <row r="134" spans="2:28">
      <c r="B134" s="66" t="s">
        <v>63</v>
      </c>
      <c r="C134" s="68"/>
      <c r="D134" s="68"/>
      <c r="E134" s="68"/>
      <c r="F134" s="68"/>
      <c r="G134" s="68"/>
      <c r="H134" s="68">
        <f t="shared" ref="H134:AB134" si="177">H133/G133-1</f>
        <v>-6.6806680668066942E-2</v>
      </c>
      <c r="I134" s="68">
        <f t="shared" si="177"/>
        <v>-6.8974308132452755E-2</v>
      </c>
      <c r="J134" s="68">
        <f t="shared" si="177"/>
        <v>-0.11451044352080841</v>
      </c>
      <c r="K134" s="68">
        <f t="shared" si="177"/>
        <v>-0.1823225664689081</v>
      </c>
      <c r="L134" s="68">
        <f t="shared" si="177"/>
        <v>-0.10139718063326353</v>
      </c>
      <c r="M134" s="68">
        <f t="shared" si="177"/>
        <v>-0.12032069079279351</v>
      </c>
      <c r="N134" s="68">
        <f t="shared" si="177"/>
        <v>-0.19069276423233916</v>
      </c>
      <c r="O134" s="68">
        <f t="shared" si="177"/>
        <v>-0.17866666666666675</v>
      </c>
      <c r="P134" s="68">
        <f t="shared" si="177"/>
        <v>-7.3063380281690016E-2</v>
      </c>
      <c r="Q134" s="68">
        <f t="shared" ca="1" si="177"/>
        <v>-0.17203761755485913</v>
      </c>
      <c r="R134" s="68">
        <f t="shared" ca="1" si="177"/>
        <v>-0.12913946587537073</v>
      </c>
      <c r="S134" s="68">
        <f t="shared" ca="1" si="177"/>
        <v>-6.3473584344515221E-2</v>
      </c>
      <c r="T134" s="68">
        <f t="shared" ca="1" si="177"/>
        <v>-0.30551509944017941</v>
      </c>
      <c r="U134" s="68">
        <f t="shared" ca="1" si="177"/>
        <v>-2.2357784431137673E-2</v>
      </c>
      <c r="V134" s="68">
        <f t="shared" ca="1" si="177"/>
        <v>9.3452380952381064E-2</v>
      </c>
      <c r="W134" s="68">
        <f t="shared" ca="1" si="177"/>
        <v>1.463414634146365E-2</v>
      </c>
      <c r="X134" s="68">
        <f t="shared" ca="1" si="177"/>
        <v>-4.8780487804875872E-3</v>
      </c>
      <c r="Y134" s="68">
        <f t="shared" ca="1" si="177"/>
        <v>4.8780487804878092E-3</v>
      </c>
      <c r="Z134" s="68">
        <f t="shared" ca="1" si="177"/>
        <v>4.8780487804878092E-3</v>
      </c>
      <c r="AA134" s="68">
        <f t="shared" ca="1" si="177"/>
        <v>4.8780487804880313E-3</v>
      </c>
      <c r="AB134" s="68">
        <f t="shared" ca="1" si="177"/>
        <v>4.8780487804880313E-3</v>
      </c>
    </row>
    <row r="135" spans="2:28" s="21" customFormat="1"/>
    <row r="136" spans="2:28">
      <c r="B136" s="287" t="s">
        <v>760</v>
      </c>
      <c r="C136" s="289">
        <f>C129*C126*12/1000</f>
        <v>0</v>
      </c>
      <c r="D136" s="289">
        <f>D129*D126*12/1000</f>
        <v>0</v>
      </c>
      <c r="E136" s="289">
        <f>E129*E126*12/1000</f>
        <v>0</v>
      </c>
      <c r="F136" s="288">
        <f>87*F$131</f>
        <v>296.67</v>
      </c>
      <c r="G136" s="288">
        <f>101*G$131</f>
        <v>333.29999999999995</v>
      </c>
      <c r="H136" s="288">
        <f>129*H$131</f>
        <v>421.83</v>
      </c>
      <c r="I136" s="288">
        <f>166*I$131</f>
        <v>517.92000000000007</v>
      </c>
      <c r="J136" s="288">
        <f>205*J$131</f>
        <v>598.6</v>
      </c>
      <c r="K136" s="288">
        <f>221*K$131</f>
        <v>665.20999999999992</v>
      </c>
      <c r="L136" s="288">
        <f>259*L$131</f>
        <v>731.6292723406541</v>
      </c>
      <c r="M136" s="288">
        <f>296.6*M$131</f>
        <v>815.65000000000009</v>
      </c>
      <c r="N136" s="288">
        <f>289.8*N$131</f>
        <v>765.07200000000012</v>
      </c>
      <c r="O136" s="289">
        <f t="shared" ref="O136:P136" si="178">O129*O126*12/1000</f>
        <v>667.8327161038037</v>
      </c>
      <c r="P136" s="289">
        <f t="shared" si="178"/>
        <v>667.03310299324562</v>
      </c>
      <c r="Q136" s="289">
        <f ca="1">Q147-Q139</f>
        <v>916.57516830885152</v>
      </c>
      <c r="R136" s="289">
        <f t="shared" ref="R136:T136" ca="1" si="179">R147-R139</f>
        <v>1377.2318742256209</v>
      </c>
      <c r="S136" s="289">
        <f t="shared" ca="1" si="179"/>
        <v>1783.5911378796047</v>
      </c>
      <c r="T136" s="289">
        <f t="shared" ca="1" si="179"/>
        <v>1579.5644606581311</v>
      </c>
      <c r="U136" s="289">
        <f t="shared" ref="U136:AA136" ca="1" si="180">U129*U126*12/1000</f>
        <v>1729.0460055345807</v>
      </c>
      <c r="V136" s="289">
        <f t="shared" ca="1" si="180"/>
        <v>1947.7302224790426</v>
      </c>
      <c r="W136" s="289">
        <f t="shared" ca="1" si="180"/>
        <v>2066.7403615928642</v>
      </c>
      <c r="X136" s="289">
        <f t="shared" ca="1" si="180"/>
        <v>2145.0730733173896</v>
      </c>
      <c r="Y136" s="289">
        <f t="shared" ca="1" si="180"/>
        <v>2243.7857340389505</v>
      </c>
      <c r="Z136" s="289">
        <f t="shared" ca="1" si="180"/>
        <v>2343.655272663098</v>
      </c>
      <c r="AA136" s="289">
        <f t="shared" ca="1" si="180"/>
        <v>2445.3692236516831</v>
      </c>
      <c r="AB136" s="289">
        <f t="shared" ref="AB136" ca="1" si="181">AB129*AB126*12/1000</f>
        <v>2549.4969939507387</v>
      </c>
    </row>
    <row r="137" spans="2:28">
      <c r="B137" s="66" t="s">
        <v>63</v>
      </c>
      <c r="C137" s="69"/>
      <c r="D137" s="69" t="e">
        <f t="shared" ref="D137:AB137" si="182">D136/C136-1</f>
        <v>#DIV/0!</v>
      </c>
      <c r="E137" s="69" t="e">
        <f t="shared" si="182"/>
        <v>#DIV/0!</v>
      </c>
      <c r="F137" s="69" t="e">
        <f t="shared" si="182"/>
        <v>#DIV/0!</v>
      </c>
      <c r="G137" s="69">
        <f t="shared" si="182"/>
        <v>0.12347052280311432</v>
      </c>
      <c r="H137" s="69">
        <f t="shared" si="182"/>
        <v>0.26561656165616565</v>
      </c>
      <c r="I137" s="69">
        <f t="shared" si="182"/>
        <v>0.22779318682881744</v>
      </c>
      <c r="J137" s="69">
        <f t="shared" si="182"/>
        <v>0.15577695396972491</v>
      </c>
      <c r="K137" s="69">
        <f t="shared" si="182"/>
        <v>0.11127631139325067</v>
      </c>
      <c r="L137" s="69">
        <f t="shared" si="182"/>
        <v>9.9847074368476285E-2</v>
      </c>
      <c r="M137" s="69">
        <f t="shared" si="182"/>
        <v>0.11484057682731019</v>
      </c>
      <c r="N137" s="69">
        <f t="shared" si="182"/>
        <v>-6.2009440323668175E-2</v>
      </c>
      <c r="O137" s="69">
        <f t="shared" si="182"/>
        <v>-0.12709821284296952</v>
      </c>
      <c r="P137" s="69">
        <f t="shared" si="182"/>
        <v>-1.1973254548280909E-3</v>
      </c>
      <c r="Q137" s="69">
        <f t="shared" ca="1" si="182"/>
        <v>0.3741074681238612</v>
      </c>
      <c r="R137" s="69">
        <f t="shared" ca="1" si="182"/>
        <v>0.50258475446887219</v>
      </c>
      <c r="S137" s="69">
        <f t="shared" ca="1" si="182"/>
        <v>0.29505508205179187</v>
      </c>
      <c r="T137" s="69">
        <f t="shared" ca="1" si="182"/>
        <v>-0.1143909458218253</v>
      </c>
      <c r="U137" s="69">
        <f t="shared" ca="1" si="182"/>
        <v>9.4634659489722495E-2</v>
      </c>
      <c r="V137" s="69">
        <f t="shared" ca="1" si="182"/>
        <v>0.12647680642647208</v>
      </c>
      <c r="W137" s="69">
        <f t="shared" ca="1" si="182"/>
        <v>6.1101962551234346E-2</v>
      </c>
      <c r="X137" s="69">
        <f t="shared" ca="1" si="182"/>
        <v>3.7901573502030717E-2</v>
      </c>
      <c r="Y137" s="69">
        <f t="shared" ca="1" si="182"/>
        <v>4.6018320750677466E-2</v>
      </c>
      <c r="Z137" s="69">
        <f t="shared" ca="1" si="182"/>
        <v>4.4509391921472075E-2</v>
      </c>
      <c r="AA137" s="69">
        <f t="shared" ca="1" si="182"/>
        <v>4.3399706507607494E-2</v>
      </c>
      <c r="AB137" s="69">
        <f t="shared" ca="1" si="182"/>
        <v>4.2581614789263256E-2</v>
      </c>
    </row>
    <row r="138" spans="2:28">
      <c r="C138" s="277"/>
      <c r="D138" s="277"/>
    </row>
    <row r="139" spans="2:28">
      <c r="B139" s="287" t="s">
        <v>759</v>
      </c>
      <c r="C139" s="285">
        <f>C149-C136</f>
        <v>0</v>
      </c>
      <c r="D139" s="285">
        <f>D149-D136</f>
        <v>0</v>
      </c>
      <c r="E139" s="285">
        <f>E149-E136</f>
        <v>323.64</v>
      </c>
      <c r="F139" s="288">
        <f>6.1*F$131</f>
        <v>20.800999999999998</v>
      </c>
      <c r="G139" s="288">
        <f>7.2*G$131</f>
        <v>23.759999999999998</v>
      </c>
      <c r="H139" s="288">
        <f>9.4*H$131</f>
        <v>30.738000000000003</v>
      </c>
      <c r="I139" s="288">
        <f>(12.2+0.1)*I$131</f>
        <v>38.375999999999998</v>
      </c>
      <c r="J139" s="288">
        <f>(17.6+0)*J$131</f>
        <v>51.392000000000003</v>
      </c>
      <c r="K139" s="288">
        <f>(20+0)*K$131</f>
        <v>60.199999999999996</v>
      </c>
      <c r="L139" s="288">
        <f>(23+0)*L$131</f>
        <v>64.970939242606349</v>
      </c>
      <c r="M139" s="288">
        <f>(25.3)*M$131</f>
        <v>69.575000000000003</v>
      </c>
      <c r="N139" s="288">
        <f>24.2*N$131</f>
        <v>63.887999999999998</v>
      </c>
      <c r="O139" s="285">
        <f t="shared" ref="O139:T139" si="183">O141*O136</f>
        <v>57.335881967936324</v>
      </c>
      <c r="P139" s="285">
        <f t="shared" si="183"/>
        <v>57.267232256981089</v>
      </c>
      <c r="Q139" s="285">
        <f ca="1">Q147-Q136</f>
        <v>64.277231691148472</v>
      </c>
      <c r="R139" s="285">
        <f ca="1">R147-R136</f>
        <v>137.76162377437936</v>
      </c>
      <c r="S139" s="285">
        <f t="shared" ca="1" si="183"/>
        <v>153.12782452039534</v>
      </c>
      <c r="T139" s="285">
        <f t="shared" ca="1" si="183"/>
        <v>135.61138784186883</v>
      </c>
      <c r="U139" s="285">
        <f t="shared" ref="U139:AA139" ca="1" si="184">U141*U136</f>
        <v>148.4449253532128</v>
      </c>
      <c r="V139" s="285">
        <f t="shared" ca="1" si="184"/>
        <v>167.21976544210318</v>
      </c>
      <c r="W139" s="285">
        <f t="shared" ca="1" si="184"/>
        <v>177.43722128797276</v>
      </c>
      <c r="X139" s="285">
        <f t="shared" ca="1" si="184"/>
        <v>184.16237117261491</v>
      </c>
      <c r="Y139" s="285">
        <f t="shared" ca="1" si="184"/>
        <v>192.63721423944162</v>
      </c>
      <c r="Z139" s="285">
        <f t="shared" ca="1" si="184"/>
        <v>201.21137950668549</v>
      </c>
      <c r="AA139" s="285">
        <f t="shared" ca="1" si="184"/>
        <v>209.94389432326648</v>
      </c>
      <c r="AB139" s="285">
        <f t="shared" ref="AB139" ca="1" si="185">AB141*AB136</f>
        <v>218.88364435869758</v>
      </c>
    </row>
    <row r="140" spans="2:28">
      <c r="B140" s="66" t="s">
        <v>63</v>
      </c>
      <c r="C140" s="69"/>
      <c r="D140" s="69" t="e">
        <f t="shared" ref="D140:AB140" si="186">D139/C139-1</f>
        <v>#DIV/0!</v>
      </c>
      <c r="E140" s="69" t="e">
        <f t="shared" si="186"/>
        <v>#DIV/0!</v>
      </c>
      <c r="F140" s="69">
        <f t="shared" si="186"/>
        <v>-0.93572796934865898</v>
      </c>
      <c r="G140" s="69">
        <f t="shared" si="186"/>
        <v>0.14225277630883126</v>
      </c>
      <c r="H140" s="69">
        <f t="shared" si="186"/>
        <v>0.293686868686869</v>
      </c>
      <c r="I140" s="69">
        <f t="shared" si="186"/>
        <v>0.24848721452274036</v>
      </c>
      <c r="J140" s="69">
        <f t="shared" si="186"/>
        <v>0.33917031478007109</v>
      </c>
      <c r="K140" s="69">
        <f t="shared" si="186"/>
        <v>0.17138854296388528</v>
      </c>
      <c r="L140" s="69">
        <f t="shared" si="186"/>
        <v>7.925148243532143E-2</v>
      </c>
      <c r="M140" s="69">
        <f t="shared" si="186"/>
        <v>7.0863386170265219E-2</v>
      </c>
      <c r="N140" s="69">
        <f t="shared" si="186"/>
        <v>-8.1739130434782648E-2</v>
      </c>
      <c r="O140" s="69">
        <f t="shared" si="186"/>
        <v>-0.10255631780715746</v>
      </c>
      <c r="P140" s="69">
        <f t="shared" si="186"/>
        <v>-1.197325454828202E-3</v>
      </c>
      <c r="Q140" s="69">
        <f t="shared" ca="1" si="186"/>
        <v>0.12240855997214428</v>
      </c>
      <c r="R140" s="69">
        <f t="shared" ca="1" si="186"/>
        <v>1.1432413959008492</v>
      </c>
      <c r="S140" s="69">
        <f t="shared" ca="1" si="186"/>
        <v>0.11154195431945646</v>
      </c>
      <c r="T140" s="69">
        <f t="shared" ca="1" si="186"/>
        <v>-0.11439094582182519</v>
      </c>
      <c r="U140" s="69">
        <f t="shared" ca="1" si="186"/>
        <v>9.4634659489722495E-2</v>
      </c>
      <c r="V140" s="69">
        <f t="shared" ca="1" si="186"/>
        <v>0.12647680642647208</v>
      </c>
      <c r="W140" s="69">
        <f t="shared" ca="1" si="186"/>
        <v>6.1101962551234346E-2</v>
      </c>
      <c r="X140" s="69">
        <f t="shared" ca="1" si="186"/>
        <v>3.7901573502030494E-2</v>
      </c>
      <c r="Y140" s="69">
        <f t="shared" ca="1" si="186"/>
        <v>4.6018320750677466E-2</v>
      </c>
      <c r="Z140" s="69">
        <f t="shared" ca="1" si="186"/>
        <v>4.4509391921472075E-2</v>
      </c>
      <c r="AA140" s="69">
        <f t="shared" ca="1" si="186"/>
        <v>4.3399706507607494E-2</v>
      </c>
      <c r="AB140" s="69">
        <f t="shared" ca="1" si="186"/>
        <v>4.2581614789263256E-2</v>
      </c>
    </row>
    <row r="141" spans="2:28">
      <c r="B141" s="66" t="s">
        <v>758</v>
      </c>
      <c r="C141" s="69" t="e">
        <f t="shared" ref="C141:J141" si="187">C139/C136</f>
        <v>#DIV/0!</v>
      </c>
      <c r="D141" s="69" t="e">
        <f t="shared" si="187"/>
        <v>#DIV/0!</v>
      </c>
      <c r="E141" s="69" t="e">
        <f t="shared" si="187"/>
        <v>#DIV/0!</v>
      </c>
      <c r="F141" s="69">
        <f t="shared" si="187"/>
        <v>7.0114942528735624E-2</v>
      </c>
      <c r="G141" s="69">
        <f t="shared" si="187"/>
        <v>7.1287128712871295E-2</v>
      </c>
      <c r="H141" s="69">
        <f t="shared" si="187"/>
        <v>7.2868217054263579E-2</v>
      </c>
      <c r="I141" s="69">
        <f t="shared" si="187"/>
        <v>7.4096385542168658E-2</v>
      </c>
      <c r="J141" s="69">
        <f t="shared" si="187"/>
        <v>8.5853658536585373E-2</v>
      </c>
      <c r="K141" s="69">
        <f t="shared" ref="K141:AB141" si="188">J141</f>
        <v>8.5853658536585373E-2</v>
      </c>
      <c r="L141" s="69">
        <f t="shared" si="188"/>
        <v>8.5853658536585373E-2</v>
      </c>
      <c r="M141" s="69">
        <f t="shared" si="188"/>
        <v>8.5853658536585373E-2</v>
      </c>
      <c r="N141" s="69">
        <f t="shared" si="188"/>
        <v>8.5853658536585373E-2</v>
      </c>
      <c r="O141" s="69">
        <f t="shared" si="188"/>
        <v>8.5853658536585373E-2</v>
      </c>
      <c r="P141" s="69">
        <f t="shared" si="188"/>
        <v>8.5853658536585373E-2</v>
      </c>
      <c r="Q141" s="69">
        <f t="shared" si="188"/>
        <v>8.5853658536585373E-2</v>
      </c>
      <c r="R141" s="69">
        <f t="shared" si="188"/>
        <v>8.5853658536585373E-2</v>
      </c>
      <c r="S141" s="69">
        <f t="shared" si="188"/>
        <v>8.5853658536585373E-2</v>
      </c>
      <c r="T141" s="69">
        <f t="shared" si="188"/>
        <v>8.5853658536585373E-2</v>
      </c>
      <c r="U141" s="69">
        <f t="shared" si="188"/>
        <v>8.5853658536585373E-2</v>
      </c>
      <c r="V141" s="69">
        <f t="shared" si="188"/>
        <v>8.5853658536585373E-2</v>
      </c>
      <c r="W141" s="69">
        <f t="shared" si="188"/>
        <v>8.5853658536585373E-2</v>
      </c>
      <c r="X141" s="69">
        <f t="shared" si="188"/>
        <v>8.5853658536585373E-2</v>
      </c>
      <c r="Y141" s="69">
        <f t="shared" si="188"/>
        <v>8.5853658536585373E-2</v>
      </c>
      <c r="Z141" s="69">
        <f t="shared" si="188"/>
        <v>8.5853658536585373E-2</v>
      </c>
      <c r="AA141" s="69">
        <f t="shared" si="188"/>
        <v>8.5853658536585373E-2</v>
      </c>
      <c r="AB141" s="69">
        <f t="shared" si="188"/>
        <v>8.5853658536585373E-2</v>
      </c>
    </row>
    <row r="143" spans="2:28">
      <c r="B143" s="287" t="s">
        <v>757</v>
      </c>
      <c r="C143" s="287"/>
      <c r="D143" s="287"/>
      <c r="E143" s="287"/>
      <c r="F143" s="286">
        <f t="shared" ref="F143:N143" si="189">F4-F136-F139</f>
        <v>9.8889999999999993</v>
      </c>
      <c r="G143" s="286">
        <f t="shared" si="189"/>
        <v>19.140000000000036</v>
      </c>
      <c r="H143" s="286">
        <f t="shared" si="189"/>
        <v>24.852000000000029</v>
      </c>
      <c r="I143" s="286">
        <f t="shared" si="189"/>
        <v>39.624000000000002</v>
      </c>
      <c r="J143" s="286">
        <f t="shared" si="189"/>
        <v>59.56799999999992</v>
      </c>
      <c r="K143" s="286">
        <f t="shared" si="189"/>
        <v>81.270000000000039</v>
      </c>
      <c r="L143" s="286">
        <f t="shared" si="189"/>
        <v>84.744703359921388</v>
      </c>
      <c r="M143" s="286">
        <f t="shared" si="189"/>
        <v>88.55</v>
      </c>
      <c r="N143" s="286">
        <f t="shared" si="189"/>
        <v>77.352000000000004</v>
      </c>
      <c r="O143" s="285">
        <f t="shared" ref="O143:AB143" si="190">(1+O144)*N143</f>
        <v>77.352000000000004</v>
      </c>
      <c r="P143" s="285">
        <f>P149-P136-P139</f>
        <v>33.213710283923859</v>
      </c>
      <c r="Q143" s="285">
        <f>Q149-Q147</f>
        <v>172.15052237442933</v>
      </c>
      <c r="R143" s="285">
        <f>R149-R147</f>
        <v>221.32422389349085</v>
      </c>
      <c r="S143" s="285">
        <f>S149-S147</f>
        <v>374.83703143667185</v>
      </c>
      <c r="T143" s="285">
        <f>T149-T147</f>
        <v>708.44211100155735</v>
      </c>
      <c r="U143" s="285">
        <f t="shared" si="190"/>
        <v>828.87726987182202</v>
      </c>
      <c r="V143" s="285">
        <f t="shared" si="190"/>
        <v>845.45481526925846</v>
      </c>
      <c r="W143" s="285">
        <f t="shared" si="190"/>
        <v>862.36391157464368</v>
      </c>
      <c r="X143" s="285">
        <f t="shared" si="190"/>
        <v>879.61118980613662</v>
      </c>
      <c r="Y143" s="285">
        <f t="shared" si="190"/>
        <v>897.20341360225939</v>
      </c>
      <c r="Z143" s="285">
        <f t="shared" si="190"/>
        <v>915.14748187430462</v>
      </c>
      <c r="AA143" s="285">
        <f t="shared" si="190"/>
        <v>933.45043151179073</v>
      </c>
      <c r="AB143" s="285">
        <f t="shared" si="190"/>
        <v>952.11944014202652</v>
      </c>
    </row>
    <row r="144" spans="2:28">
      <c r="B144" s="66" t="s">
        <v>63</v>
      </c>
      <c r="H144" s="69">
        <f t="shared" ref="H144:T144" si="191">H143/G143-1</f>
        <v>0.29843260188087672</v>
      </c>
      <c r="I144" s="69">
        <f t="shared" si="191"/>
        <v>0.59439884113954444</v>
      </c>
      <c r="J144" s="69">
        <f t="shared" si="191"/>
        <v>0.50333131435493428</v>
      </c>
      <c r="K144" s="69">
        <f t="shared" si="191"/>
        <v>0.36432312651088083</v>
      </c>
      <c r="L144" s="69">
        <f t="shared" si="191"/>
        <v>4.2755055493064464E-2</v>
      </c>
      <c r="M144" s="69">
        <f t="shared" si="191"/>
        <v>4.4903061657045829E-2</v>
      </c>
      <c r="N144" s="69">
        <f t="shared" si="191"/>
        <v>-0.12645962732919247</v>
      </c>
      <c r="O144" s="280">
        <v>0</v>
      </c>
      <c r="P144" s="69">
        <f t="shared" si="191"/>
        <v>-0.57061601142926022</v>
      </c>
      <c r="Q144" s="69">
        <f t="shared" si="191"/>
        <v>4.1831162764659222</v>
      </c>
      <c r="R144" s="69">
        <f t="shared" si="191"/>
        <v>0.28564363814190563</v>
      </c>
      <c r="S144" s="69">
        <f t="shared" si="191"/>
        <v>0.69361050879390795</v>
      </c>
      <c r="T144" s="69">
        <f t="shared" si="191"/>
        <v>0.89000032437095955</v>
      </c>
      <c r="U144" s="280">
        <v>0.17</v>
      </c>
      <c r="V144" s="280">
        <v>0.02</v>
      </c>
      <c r="W144" s="280">
        <v>0.02</v>
      </c>
      <c r="X144" s="280">
        <v>0.02</v>
      </c>
      <c r="Y144" s="280">
        <v>0.02</v>
      </c>
      <c r="Z144" s="280">
        <v>0.02</v>
      </c>
      <c r="AA144" s="280">
        <v>0.02</v>
      </c>
      <c r="AB144" s="280">
        <v>0.02</v>
      </c>
    </row>
    <row r="145" spans="2:28">
      <c r="B145" s="66" t="s">
        <v>2</v>
      </c>
      <c r="H145" s="69"/>
      <c r="I145" s="69"/>
      <c r="J145" s="69"/>
      <c r="K145" s="69"/>
      <c r="L145" s="69"/>
      <c r="M145" s="69"/>
      <c r="N145" s="69"/>
      <c r="Q145" s="69">
        <f t="shared" ref="Q145:V145" si="192">Q143/Q149</f>
        <v>0.14930623247676791</v>
      </c>
      <c r="R145" s="69">
        <f t="shared" ref="R145" si="193">R143/R149</f>
        <v>0.12746758332463032</v>
      </c>
      <c r="S145" s="69">
        <f t="shared" si="192"/>
        <v>0.16215788518041704</v>
      </c>
      <c r="T145" s="69">
        <f t="shared" si="192"/>
        <v>0.29230766681860038</v>
      </c>
      <c r="U145" s="69">
        <f t="shared" ca="1" si="192"/>
        <v>0.3062692170411902</v>
      </c>
      <c r="V145" s="69">
        <f t="shared" ca="1" si="192"/>
        <v>0.28558757044243366</v>
      </c>
      <c r="W145" s="69">
        <f t="shared" ref="W145:AA145" ca="1" si="194">W143/W149</f>
        <v>0.27759613483798007</v>
      </c>
      <c r="X145" s="69">
        <f t="shared" ca="1" si="194"/>
        <v>0.27412067015134206</v>
      </c>
      <c r="Y145" s="69">
        <f t="shared" ca="1" si="194"/>
        <v>0.26913736460138438</v>
      </c>
      <c r="Z145" s="69">
        <f t="shared" ca="1" si="194"/>
        <v>0.26449241142395974</v>
      </c>
      <c r="AA145" s="69">
        <f t="shared" ca="1" si="194"/>
        <v>0.26010363141514059</v>
      </c>
      <c r="AB145" s="69">
        <f t="shared" ref="AB145" ca="1" si="195">AB143/AB149</f>
        <v>0.25591168393102554</v>
      </c>
    </row>
    <row r="146" spans="2:28">
      <c r="H146" s="69"/>
      <c r="I146" s="69"/>
      <c r="J146" s="69"/>
      <c r="K146" s="69"/>
      <c r="L146" s="69"/>
      <c r="M146" s="69"/>
      <c r="N146" s="69"/>
    </row>
    <row r="147" spans="2:28">
      <c r="B147" s="66" t="s">
        <v>1383</v>
      </c>
      <c r="G147" s="67">
        <f>G149-G143</f>
        <v>357.05999999999995</v>
      </c>
      <c r="H147" s="67">
        <f t="shared" ref="H147:P147" si="196">H149-H143</f>
        <v>452.56799999999998</v>
      </c>
      <c r="I147" s="67">
        <f t="shared" si="196"/>
        <v>556.29600000000005</v>
      </c>
      <c r="J147" s="67">
        <f t="shared" si="196"/>
        <v>649.99200000000008</v>
      </c>
      <c r="K147" s="67">
        <f t="shared" si="196"/>
        <v>725.40999999999985</v>
      </c>
      <c r="L147" s="67">
        <f t="shared" si="196"/>
        <v>796.60021158326049</v>
      </c>
      <c r="M147" s="67">
        <f t="shared" si="196"/>
        <v>885.22500000000014</v>
      </c>
      <c r="N147" s="67">
        <f t="shared" si="196"/>
        <v>828.96000000000015</v>
      </c>
      <c r="O147" s="67">
        <f t="shared" si="196"/>
        <v>725.16859807174001</v>
      </c>
      <c r="P147" s="67">
        <f t="shared" si="196"/>
        <v>724.30033525022668</v>
      </c>
      <c r="Q147" s="267">
        <f>SUM(Interims!AI249:AL249)</f>
        <v>980.85239999999999</v>
      </c>
      <c r="R147" s="267">
        <f>SUM(Interims!AM249:AP249)</f>
        <v>1514.9934980000003</v>
      </c>
      <c r="S147" s="267">
        <f>SUM(Interims!AQ249:AT249)</f>
        <v>1936.7189624</v>
      </c>
      <c r="T147" s="267">
        <f>SUM(Interims!AU249:AX249)</f>
        <v>1715.1758485</v>
      </c>
      <c r="U147" s="67">
        <f ca="1">U149-U143</f>
        <v>1877.4909308877932</v>
      </c>
      <c r="V147" s="67">
        <f t="shared" ref="V147:AA147" ca="1" si="197">V149-V143</f>
        <v>2114.9499879211453</v>
      </c>
      <c r="W147" s="67">
        <f t="shared" ca="1" si="197"/>
        <v>2244.1775828808368</v>
      </c>
      <c r="X147" s="67">
        <f t="shared" ca="1" si="197"/>
        <v>2329.2354444900043</v>
      </c>
      <c r="Y147" s="67">
        <f t="shared" ca="1" si="197"/>
        <v>2436.4229482783921</v>
      </c>
      <c r="Z147" s="67">
        <f t="shared" ca="1" si="197"/>
        <v>2544.8666521697833</v>
      </c>
      <c r="AA147" s="67">
        <f t="shared" ca="1" si="197"/>
        <v>2655.3131179749498</v>
      </c>
      <c r="AB147" s="67">
        <f t="shared" ref="AB147" ca="1" si="198">AB149-AB143</f>
        <v>2768.3806383094361</v>
      </c>
    </row>
    <row r="148" spans="2:28">
      <c r="B148" s="66" t="s">
        <v>63</v>
      </c>
      <c r="G148" s="67"/>
      <c r="H148" s="67"/>
      <c r="I148" s="67"/>
      <c r="J148" s="67"/>
      <c r="K148" s="67"/>
      <c r="L148" s="67"/>
      <c r="M148" s="67"/>
      <c r="N148" s="67"/>
      <c r="O148" s="67"/>
      <c r="P148" s="69">
        <f>P147/O147-1</f>
        <v>-1.1973254548280909E-3</v>
      </c>
      <c r="Q148" s="69">
        <f t="shared" ref="Q148:AB148" si="199">Q147/P147-1</f>
        <v>0.35420674582615153</v>
      </c>
      <c r="R148" s="69">
        <f t="shared" si="199"/>
        <v>0.54456827347315495</v>
      </c>
      <c r="S148" s="69">
        <f t="shared" si="199"/>
        <v>0.27836783785325503</v>
      </c>
      <c r="T148" s="69">
        <f t="shared" si="199"/>
        <v>-0.11439094582182519</v>
      </c>
      <c r="U148" s="69">
        <f t="shared" ca="1" si="199"/>
        <v>9.4634659489722273E-2</v>
      </c>
      <c r="V148" s="69">
        <f t="shared" ca="1" si="199"/>
        <v>0.12647680642647208</v>
      </c>
      <c r="W148" s="69">
        <f t="shared" ca="1" si="199"/>
        <v>6.1101962551234346E-2</v>
      </c>
      <c r="X148" s="69">
        <f t="shared" ca="1" si="199"/>
        <v>3.7901573502030717E-2</v>
      </c>
      <c r="Y148" s="69">
        <f t="shared" ca="1" si="199"/>
        <v>4.6018320750677466E-2</v>
      </c>
      <c r="Z148" s="69">
        <f t="shared" ca="1" si="199"/>
        <v>4.4509391921471853E-2</v>
      </c>
      <c r="AA148" s="69">
        <f t="shared" ca="1" si="199"/>
        <v>4.3399706507607716E-2</v>
      </c>
      <c r="AB148" s="69">
        <f t="shared" ca="1" si="199"/>
        <v>4.2581614789263034E-2</v>
      </c>
    </row>
    <row r="149" spans="2:28">
      <c r="B149" s="70" t="s">
        <v>756</v>
      </c>
      <c r="C149" s="71"/>
      <c r="D149" s="71">
        <f t="shared" ref="D149:N149" si="200">D4</f>
        <v>0</v>
      </c>
      <c r="E149" s="71">
        <f t="shared" si="200"/>
        <v>323.64</v>
      </c>
      <c r="F149" s="71">
        <f t="shared" si="200"/>
        <v>327.36</v>
      </c>
      <c r="G149" s="71">
        <f t="shared" si="200"/>
        <v>376.2</v>
      </c>
      <c r="H149" s="71">
        <f t="shared" si="200"/>
        <v>477.42</v>
      </c>
      <c r="I149" s="71">
        <f t="shared" si="200"/>
        <v>595.92000000000007</v>
      </c>
      <c r="J149" s="71">
        <f t="shared" si="200"/>
        <v>709.56</v>
      </c>
      <c r="K149" s="71">
        <f t="shared" si="200"/>
        <v>806.68</v>
      </c>
      <c r="L149" s="71">
        <f t="shared" si="200"/>
        <v>881.34491494318183</v>
      </c>
      <c r="M149" s="71">
        <f t="shared" si="200"/>
        <v>973.77500000000009</v>
      </c>
      <c r="N149" s="71">
        <f t="shared" si="200"/>
        <v>906.31200000000013</v>
      </c>
      <c r="O149" s="71">
        <f t="shared" ref="O149" si="201">O136+O139+O143</f>
        <v>802.52059807173998</v>
      </c>
      <c r="P149" s="71">
        <f>P28/P26</f>
        <v>757.51404553415057</v>
      </c>
      <c r="Q149" s="71">
        <f>Q28/Q26</f>
        <v>1153.0029223744293</v>
      </c>
      <c r="R149" s="71">
        <f>R28/R26</f>
        <v>1736.3177218934911</v>
      </c>
      <c r="S149" s="71">
        <f>S28/S26</f>
        <v>2311.5559938366719</v>
      </c>
      <c r="T149" s="71">
        <f>T28/T26</f>
        <v>2423.6179595015574</v>
      </c>
      <c r="U149" s="71">
        <f t="shared" ref="U149:AA149" ca="1" si="202">U136+U139+U143</f>
        <v>2706.3682007596153</v>
      </c>
      <c r="V149" s="71">
        <f t="shared" ca="1" si="202"/>
        <v>2960.404803190404</v>
      </c>
      <c r="W149" s="71">
        <f t="shared" ca="1" si="202"/>
        <v>3106.5414944554805</v>
      </c>
      <c r="X149" s="71">
        <f t="shared" ca="1" si="202"/>
        <v>3208.846634296141</v>
      </c>
      <c r="Y149" s="71">
        <f t="shared" ca="1" si="202"/>
        <v>3333.6263618806515</v>
      </c>
      <c r="Z149" s="71">
        <f t="shared" ca="1" si="202"/>
        <v>3460.0141340440878</v>
      </c>
      <c r="AA149" s="71">
        <f t="shared" ca="1" si="202"/>
        <v>3588.7635494867404</v>
      </c>
      <c r="AB149" s="71">
        <f t="shared" ref="AB149" ca="1" si="203">AB136+AB139+AB143</f>
        <v>3720.5000784514627</v>
      </c>
    </row>
    <row r="150" spans="2:28">
      <c r="B150" s="66" t="s">
        <v>63</v>
      </c>
      <c r="C150" s="68"/>
      <c r="D150" s="68"/>
      <c r="E150" s="68" t="e">
        <f t="shared" ref="E150:AB150" si="204">E149/D149-1</f>
        <v>#DIV/0!</v>
      </c>
      <c r="F150" s="68">
        <f t="shared" si="204"/>
        <v>1.1494252873563315E-2</v>
      </c>
      <c r="G150" s="68">
        <f t="shared" si="204"/>
        <v>0.14919354838709675</v>
      </c>
      <c r="H150" s="68">
        <f t="shared" si="204"/>
        <v>0.26905901116427433</v>
      </c>
      <c r="I150" s="68">
        <f t="shared" si="204"/>
        <v>0.24820912404172435</v>
      </c>
      <c r="J150" s="68">
        <f t="shared" si="204"/>
        <v>0.19069673781715646</v>
      </c>
      <c r="K150" s="68">
        <f t="shared" si="204"/>
        <v>0.13687355544280955</v>
      </c>
      <c r="L150" s="68">
        <f t="shared" si="204"/>
        <v>9.2558282024076233E-2</v>
      </c>
      <c r="M150" s="68">
        <f t="shared" si="204"/>
        <v>0.10487390746763081</v>
      </c>
      <c r="N150" s="68">
        <f t="shared" si="204"/>
        <v>-6.9279864445071948E-2</v>
      </c>
      <c r="O150" s="68">
        <f t="shared" si="204"/>
        <v>-0.11452060871781478</v>
      </c>
      <c r="P150" s="68">
        <f t="shared" si="204"/>
        <v>-5.6081492046097137E-2</v>
      </c>
      <c r="Q150" s="68">
        <f t="shared" si="204"/>
        <v>0.52208784665029584</v>
      </c>
      <c r="R150" s="68">
        <f t="shared" si="204"/>
        <v>0.505909211676425</v>
      </c>
      <c r="S150" s="68">
        <f t="shared" si="204"/>
        <v>0.33129781761132482</v>
      </c>
      <c r="T150" s="68">
        <f t="shared" si="204"/>
        <v>4.847901844630953E-2</v>
      </c>
      <c r="U150" s="68">
        <f t="shared" ca="1" si="204"/>
        <v>0.11666452633327107</v>
      </c>
      <c r="V150" s="68">
        <f t="shared" ca="1" si="204"/>
        <v>9.3866238289190163E-2</v>
      </c>
      <c r="W150" s="68">
        <f t="shared" ca="1" si="204"/>
        <v>4.9363752925811522E-2</v>
      </c>
      <c r="X150" s="68">
        <f t="shared" ca="1" si="204"/>
        <v>3.2932165890348974E-2</v>
      </c>
      <c r="Y150" s="68">
        <f t="shared" ca="1" si="204"/>
        <v>3.8886161230289096E-2</v>
      </c>
      <c r="Z150" s="68">
        <f t="shared" ca="1" si="204"/>
        <v>3.7912998771744588E-2</v>
      </c>
      <c r="AA150" s="68">
        <f t="shared" ca="1" si="204"/>
        <v>3.7210661706797543E-2</v>
      </c>
      <c r="AB150" s="68">
        <f t="shared" ca="1" si="204"/>
        <v>3.6708054779357902E-2</v>
      </c>
    </row>
    <row r="152" spans="2:28">
      <c r="B152" s="279" t="s">
        <v>755</v>
      </c>
      <c r="C152" s="279">
        <f t="shared" ref="C152:T152" si="205">C122</f>
        <v>2001</v>
      </c>
      <c r="D152" s="279">
        <f t="shared" si="205"/>
        <v>2002</v>
      </c>
      <c r="E152" s="279">
        <f t="shared" si="205"/>
        <v>2003</v>
      </c>
      <c r="F152" s="279">
        <f t="shared" si="205"/>
        <v>2004</v>
      </c>
      <c r="G152" s="279">
        <f t="shared" si="205"/>
        <v>2005</v>
      </c>
      <c r="H152" s="279">
        <f t="shared" si="205"/>
        <v>2006</v>
      </c>
      <c r="I152" s="279">
        <f t="shared" si="205"/>
        <v>2007</v>
      </c>
      <c r="J152" s="279">
        <f t="shared" si="205"/>
        <v>2008</v>
      </c>
      <c r="K152" s="279">
        <f t="shared" si="205"/>
        <v>2009</v>
      </c>
      <c r="L152" s="279">
        <f t="shared" si="205"/>
        <v>2010</v>
      </c>
      <c r="M152" s="279">
        <f t="shared" si="205"/>
        <v>2011</v>
      </c>
      <c r="N152" s="279">
        <f t="shared" si="205"/>
        <v>2012</v>
      </c>
      <c r="O152" s="279">
        <f t="shared" si="205"/>
        <v>2013</v>
      </c>
      <c r="P152" s="279">
        <f t="shared" si="205"/>
        <v>2014</v>
      </c>
      <c r="Q152" s="279">
        <f t="shared" si="205"/>
        <v>2015</v>
      </c>
      <c r="R152" s="279">
        <f t="shared" si="205"/>
        <v>2016</v>
      </c>
      <c r="S152" s="279">
        <f t="shared" si="205"/>
        <v>2017</v>
      </c>
      <c r="T152" s="279">
        <f t="shared" si="205"/>
        <v>2018</v>
      </c>
      <c r="U152" s="279">
        <f t="shared" ref="U152:AA152" si="206">U122</f>
        <v>2019</v>
      </c>
      <c r="V152" s="279">
        <f t="shared" si="206"/>
        <v>2020</v>
      </c>
      <c r="W152" s="279">
        <f t="shared" si="206"/>
        <v>2021</v>
      </c>
      <c r="X152" s="279">
        <f t="shared" si="206"/>
        <v>2022</v>
      </c>
      <c r="Y152" s="279">
        <f t="shared" si="206"/>
        <v>2023</v>
      </c>
      <c r="Z152" s="279">
        <f t="shared" si="206"/>
        <v>2024</v>
      </c>
      <c r="AA152" s="279">
        <f t="shared" si="206"/>
        <v>2025</v>
      </c>
      <c r="AB152" s="279">
        <f t="shared" ref="AB152" si="207">AB122</f>
        <v>2026</v>
      </c>
    </row>
    <row r="154" spans="2:28">
      <c r="B154" s="66" t="s">
        <v>754</v>
      </c>
      <c r="D154" s="278">
        <v>0</v>
      </c>
      <c r="E154" s="278">
        <v>0</v>
      </c>
      <c r="F154" s="277">
        <f t="shared" ref="F154:L154" si="208">F161*1000/F158</f>
        <v>921.0975263008246</v>
      </c>
      <c r="G154" s="277">
        <f t="shared" si="208"/>
        <v>724.92836676217746</v>
      </c>
      <c r="H154" s="277">
        <f t="shared" si="208"/>
        <v>661.46040588937524</v>
      </c>
      <c r="I154" s="277">
        <f t="shared" si="208"/>
        <v>557.95070082165296</v>
      </c>
      <c r="J154" s="277">
        <f t="shared" si="208"/>
        <v>500.20153164046752</v>
      </c>
      <c r="K154" s="277">
        <f t="shared" si="208"/>
        <v>613.74615722441797</v>
      </c>
      <c r="L154" s="277">
        <f t="shared" si="208"/>
        <v>496.17876876581687</v>
      </c>
      <c r="M154" s="277">
        <f>M161*1000/M158</f>
        <v>431.24890475158548</v>
      </c>
      <c r="N154" s="277">
        <f>N161*1000/N158</f>
        <v>391.55303858388208</v>
      </c>
      <c r="O154" s="277">
        <f t="shared" ref="O154:AB154" si="209">N154*(1+O155)</f>
        <v>371.97538665468795</v>
      </c>
      <c r="P154" s="277">
        <f t="shared" si="209"/>
        <v>446.37046398562552</v>
      </c>
      <c r="Q154" s="277">
        <f t="shared" si="209"/>
        <v>424.05194078634423</v>
      </c>
      <c r="R154" s="277">
        <f t="shared" si="209"/>
        <v>402.84934374702698</v>
      </c>
      <c r="S154" s="277">
        <f t="shared" si="209"/>
        <v>382.70687655967561</v>
      </c>
      <c r="T154" s="277">
        <f t="shared" si="209"/>
        <v>363.57153273169183</v>
      </c>
      <c r="U154" s="277">
        <f t="shared" si="209"/>
        <v>345.39295609510725</v>
      </c>
      <c r="V154" s="277">
        <f t="shared" si="209"/>
        <v>328.12330829035187</v>
      </c>
      <c r="W154" s="277">
        <f t="shared" si="209"/>
        <v>311.71714287583427</v>
      </c>
      <c r="X154" s="277">
        <f t="shared" si="209"/>
        <v>296.13128573204256</v>
      </c>
      <c r="Y154" s="277">
        <f t="shared" si="209"/>
        <v>281.32472144544039</v>
      </c>
      <c r="Z154" s="277">
        <f t="shared" si="209"/>
        <v>267.25848537316836</v>
      </c>
      <c r="AA154" s="277">
        <f t="shared" si="209"/>
        <v>253.89556110450994</v>
      </c>
      <c r="AB154" s="277">
        <f t="shared" si="209"/>
        <v>241.20078304928444</v>
      </c>
    </row>
    <row r="155" spans="2:28">
      <c r="B155" s="66" t="s">
        <v>63</v>
      </c>
      <c r="D155" s="69" t="e">
        <f t="shared" ref="D155:N155" si="210">D154/C154-1</f>
        <v>#DIV/0!</v>
      </c>
      <c r="E155" s="69" t="e">
        <f t="shared" si="210"/>
        <v>#DIV/0!</v>
      </c>
      <c r="F155" s="69" t="e">
        <f t="shared" si="210"/>
        <v>#DIV/0!</v>
      </c>
      <c r="G155" s="69">
        <f t="shared" si="210"/>
        <v>-0.21297327800506927</v>
      </c>
      <c r="H155" s="69">
        <f t="shared" si="210"/>
        <v>-8.7550665393707483E-2</v>
      </c>
      <c r="I155" s="69">
        <f t="shared" si="210"/>
        <v>-0.15648662285166859</v>
      </c>
      <c r="J155" s="69">
        <f t="shared" si="210"/>
        <v>-0.10350227913710386</v>
      </c>
      <c r="K155" s="69">
        <f t="shared" si="210"/>
        <v>0.22699775670731759</v>
      </c>
      <c r="L155" s="69">
        <f t="shared" si="210"/>
        <v>-0.19155702577476552</v>
      </c>
      <c r="M155" s="69">
        <f t="shared" si="210"/>
        <v>-0.13085981928597301</v>
      </c>
      <c r="N155" s="69">
        <f t="shared" si="210"/>
        <v>-9.2048619092886974E-2</v>
      </c>
      <c r="O155" s="280">
        <v>-0.05</v>
      </c>
      <c r="P155" s="280">
        <v>0.2</v>
      </c>
      <c r="Q155" s="280">
        <v>-0.05</v>
      </c>
      <c r="R155" s="280">
        <v>-0.05</v>
      </c>
      <c r="S155" s="280">
        <v>-0.05</v>
      </c>
      <c r="T155" s="280">
        <v>-0.05</v>
      </c>
      <c r="U155" s="280">
        <v>-0.05</v>
      </c>
      <c r="V155" s="280">
        <v>-0.05</v>
      </c>
      <c r="W155" s="280">
        <v>-0.05</v>
      </c>
      <c r="X155" s="280">
        <v>-0.05</v>
      </c>
      <c r="Y155" s="280">
        <v>-0.05</v>
      </c>
      <c r="Z155" s="280">
        <v>-0.05</v>
      </c>
      <c r="AA155" s="280">
        <v>-0.05</v>
      </c>
      <c r="AB155" s="280">
        <v>-0.05</v>
      </c>
    </row>
    <row r="156" spans="2:28">
      <c r="B156" s="66" t="s">
        <v>753</v>
      </c>
      <c r="D156" s="69"/>
      <c r="E156" s="69"/>
      <c r="F156" s="69"/>
      <c r="G156" s="277">
        <f t="shared" ref="G156:T156" si="211">G154/G$131</f>
        <v>219.6752626552053</v>
      </c>
      <c r="H156" s="277">
        <f t="shared" si="211"/>
        <v>202.28146969094044</v>
      </c>
      <c r="I156" s="277">
        <f t="shared" si="211"/>
        <v>178.83035282745286</v>
      </c>
      <c r="J156" s="277">
        <f t="shared" si="211"/>
        <v>171.3018943974204</v>
      </c>
      <c r="K156" s="277">
        <f t="shared" si="211"/>
        <v>203.90237781542126</v>
      </c>
      <c r="L156" s="277">
        <f t="shared" si="211"/>
        <v>175.64947982358865</v>
      </c>
      <c r="M156" s="277">
        <f>M154/M$131</f>
        <v>156.81778354603108</v>
      </c>
      <c r="N156" s="277">
        <f>N154/N$131</f>
        <v>148.31554491813714</v>
      </c>
      <c r="O156" s="277">
        <f t="shared" si="211"/>
        <v>137.7686617239585</v>
      </c>
      <c r="P156" s="277">
        <f t="shared" si="211"/>
        <v>157.17269858648785</v>
      </c>
      <c r="Q156" s="277">
        <f t="shared" si="211"/>
        <v>132.93164287973173</v>
      </c>
      <c r="R156" s="277">
        <f t="shared" si="211"/>
        <v>119.53986461336112</v>
      </c>
      <c r="S156" s="277">
        <f t="shared" si="211"/>
        <v>117.39474741094345</v>
      </c>
      <c r="T156" s="277">
        <f t="shared" si="211"/>
        <v>110.50806466008871</v>
      </c>
      <c r="U156" s="277">
        <f t="shared" ref="U156:AA156" si="212">U154/U$131</f>
        <v>103.41106469913392</v>
      </c>
      <c r="V156" s="277">
        <f t="shared" si="212"/>
        <v>97.65574651498568</v>
      </c>
      <c r="W156" s="277">
        <f t="shared" si="212"/>
        <v>90.510204087059904</v>
      </c>
      <c r="X156" s="277">
        <f t="shared" si="212"/>
        <v>83.887506227031139</v>
      </c>
      <c r="Y156" s="277">
        <f t="shared" si="212"/>
        <v>77.749396015297151</v>
      </c>
      <c r="Z156" s="277">
        <f t="shared" si="212"/>
        <v>72.060415819055891</v>
      </c>
      <c r="AA156" s="277">
        <f t="shared" si="212"/>
        <v>66.787702466442056</v>
      </c>
      <c r="AB156" s="277">
        <f t="shared" ref="AB156" si="213">AB154/AB$131</f>
        <v>61.900797407921907</v>
      </c>
    </row>
    <row r="157" spans="2:28"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</row>
    <row r="158" spans="2:28">
      <c r="B158" s="66" t="s">
        <v>752</v>
      </c>
      <c r="C158" s="277"/>
      <c r="D158" s="277">
        <f t="shared" ref="D158:T158" si="214">D109</f>
        <v>130</v>
      </c>
      <c r="E158" s="277">
        <f t="shared" si="214"/>
        <v>45.6</v>
      </c>
      <c r="F158" s="277">
        <f t="shared" si="214"/>
        <v>70.34</v>
      </c>
      <c r="G158" s="277">
        <f t="shared" si="214"/>
        <v>104.7</v>
      </c>
      <c r="H158" s="277">
        <f t="shared" si="214"/>
        <v>150.78</v>
      </c>
      <c r="I158" s="277">
        <f t="shared" si="214"/>
        <v>206.9</v>
      </c>
      <c r="J158" s="277">
        <f t="shared" si="214"/>
        <v>297.72000000000003</v>
      </c>
      <c r="K158" s="277">
        <f t="shared" si="214"/>
        <v>318.78000000000003</v>
      </c>
      <c r="L158" s="277">
        <f t="shared" si="214"/>
        <v>472.53200000000004</v>
      </c>
      <c r="M158" s="277">
        <f>M109</f>
        <v>605.79863999999998</v>
      </c>
      <c r="N158" s="277">
        <f>N109</f>
        <v>761.88912000000005</v>
      </c>
      <c r="O158" s="277">
        <f t="shared" si="214"/>
        <v>511.51237499999991</v>
      </c>
      <c r="P158" s="277">
        <f t="shared" si="214"/>
        <v>468.98250000000002</v>
      </c>
      <c r="Q158" s="277">
        <f t="shared" si="214"/>
        <v>2247.8000000000002</v>
      </c>
      <c r="R158" s="277">
        <f t="shared" si="214"/>
        <v>2800.9970999999996</v>
      </c>
      <c r="S158" s="277">
        <f t="shared" si="214"/>
        <v>3116.3027999999995</v>
      </c>
      <c r="T158" s="277">
        <f t="shared" si="214"/>
        <v>2537.8766099999989</v>
      </c>
      <c r="U158" s="277">
        <f t="shared" ref="U158:AA158" si="215">U109</f>
        <v>2159.280922875002</v>
      </c>
      <c r="V158" s="277">
        <f t="shared" si="215"/>
        <v>2180.7602504850001</v>
      </c>
      <c r="W158" s="277">
        <f t="shared" si="215"/>
        <v>2202.4543713711018</v>
      </c>
      <c r="X158" s="277">
        <f t="shared" si="215"/>
        <v>2224.3654334660609</v>
      </c>
      <c r="Y158" s="277">
        <f t="shared" si="215"/>
        <v>2246.4956061819721</v>
      </c>
      <c r="Z158" s="277">
        <f t="shared" si="215"/>
        <v>2268.8470806250398</v>
      </c>
      <c r="AA158" s="277">
        <f t="shared" si="215"/>
        <v>2291.4220698125437</v>
      </c>
      <c r="AB158" s="277">
        <f t="shared" ref="AB158" si="216">AB109</f>
        <v>2314.2228088919192</v>
      </c>
    </row>
    <row r="159" spans="2:28">
      <c r="B159" s="66" t="s">
        <v>63</v>
      </c>
      <c r="C159" s="277"/>
      <c r="D159" s="277"/>
      <c r="E159" s="283">
        <f t="shared" ref="E159:AB159" si="217">E158/D158-1</f>
        <v>-0.64923076923076928</v>
      </c>
      <c r="F159" s="283">
        <f t="shared" si="217"/>
        <v>0.54254385964912277</v>
      </c>
      <c r="G159" s="283">
        <f t="shared" si="217"/>
        <v>0.48848450383849862</v>
      </c>
      <c r="H159" s="283">
        <f t="shared" si="217"/>
        <v>0.44011461318051581</v>
      </c>
      <c r="I159" s="283">
        <f t="shared" si="217"/>
        <v>0.37219790423133037</v>
      </c>
      <c r="J159" s="283">
        <f t="shared" si="217"/>
        <v>0.43895601739971002</v>
      </c>
      <c r="K159" s="283">
        <f t="shared" si="217"/>
        <v>7.0737605804111148E-2</v>
      </c>
      <c r="L159" s="283">
        <f t="shared" si="217"/>
        <v>0.48231382144425616</v>
      </c>
      <c r="M159" s="283">
        <f t="shared" si="217"/>
        <v>0.282026698720933</v>
      </c>
      <c r="N159" s="283">
        <f t="shared" si="217"/>
        <v>0.2576606642761694</v>
      </c>
      <c r="O159" s="283">
        <f t="shared" si="217"/>
        <v>-0.32862622450888934</v>
      </c>
      <c r="P159" s="283">
        <f t="shared" si="217"/>
        <v>-8.3145349122784928E-2</v>
      </c>
      <c r="Q159" s="283">
        <f t="shared" si="217"/>
        <v>3.7929293736973131</v>
      </c>
      <c r="R159" s="283">
        <f t="shared" si="217"/>
        <v>0.24610601476999694</v>
      </c>
      <c r="S159" s="283">
        <f t="shared" si="217"/>
        <v>0.11256909191373321</v>
      </c>
      <c r="T159" s="283">
        <f t="shared" si="217"/>
        <v>-0.18561296097413915</v>
      </c>
      <c r="U159" s="283">
        <f t="shared" si="217"/>
        <v>-0.14917813010814462</v>
      </c>
      <c r="V159" s="283">
        <f t="shared" si="217"/>
        <v>9.9474447175678105E-3</v>
      </c>
      <c r="W159" s="283">
        <f t="shared" si="217"/>
        <v>9.9479623591254285E-3</v>
      </c>
      <c r="X159" s="283">
        <f t="shared" si="217"/>
        <v>9.9484749285947416E-3</v>
      </c>
      <c r="Y159" s="283">
        <f t="shared" si="217"/>
        <v>9.9489824751626266E-3</v>
      </c>
      <c r="Z159" s="283">
        <f t="shared" si="217"/>
        <v>9.9494850475381202E-3</v>
      </c>
      <c r="AA159" s="283">
        <f t="shared" si="217"/>
        <v>9.9499826939790648E-3</v>
      </c>
      <c r="AB159" s="283">
        <f t="shared" si="217"/>
        <v>9.9504754622707914E-3</v>
      </c>
    </row>
    <row r="161" spans="2:28">
      <c r="B161" s="66" t="s">
        <v>751</v>
      </c>
      <c r="C161" s="277"/>
      <c r="D161" s="277">
        <f>D154*D158/1000</f>
        <v>0</v>
      </c>
      <c r="E161" s="277">
        <f>E154*E158/1000</f>
        <v>0</v>
      </c>
      <c r="F161" s="278">
        <f>19*F$131</f>
        <v>64.790000000000006</v>
      </c>
      <c r="G161" s="278">
        <f>23*G$131</f>
        <v>75.899999999999991</v>
      </c>
      <c r="H161" s="278">
        <f>30.5*H$131</f>
        <v>99.734999999999999</v>
      </c>
      <c r="I161" s="278">
        <f>37*I$131</f>
        <v>115.44</v>
      </c>
      <c r="J161" s="278">
        <f>51*J$131</f>
        <v>148.91999999999999</v>
      </c>
      <c r="K161" s="278">
        <f>65*K$131</f>
        <v>195.64999999999998</v>
      </c>
      <c r="L161" s="278">
        <f>83*L$131</f>
        <v>234.460345962449</v>
      </c>
      <c r="M161" s="278">
        <f>95*M$131</f>
        <v>261.25</v>
      </c>
      <c r="N161" s="278">
        <f>113*N$131</f>
        <v>298.32</v>
      </c>
      <c r="O161" s="277">
        <f t="shared" ref="O161:T161" si="218">O154*O158/1000</f>
        <v>190.2700134692827</v>
      </c>
      <c r="P161" s="277">
        <f t="shared" si="218"/>
        <v>209.33993612613864</v>
      </c>
      <c r="Q161" s="277">
        <f t="shared" si="218"/>
        <v>953.1839524995446</v>
      </c>
      <c r="R161" s="277">
        <f t="shared" si="218"/>
        <v>1128.3798435723256</v>
      </c>
      <c r="S161" s="277">
        <f t="shared" si="218"/>
        <v>1192.6305110021713</v>
      </c>
      <c r="T161" s="277">
        <f t="shared" si="218"/>
        <v>922.6996889816096</v>
      </c>
      <c r="U161" s="277">
        <f t="shared" ref="U161:AA161" si="219">U154*U158/1000</f>
        <v>745.80042099156822</v>
      </c>
      <c r="V161" s="277">
        <f t="shared" si="219"/>
        <v>715.55826797723466</v>
      </c>
      <c r="W161" s="277">
        <f t="shared" si="219"/>
        <v>686.54278395819154</v>
      </c>
      <c r="X161" s="277">
        <f t="shared" si="219"/>
        <v>658.70419575021685</v>
      </c>
      <c r="Y161" s="277">
        <f t="shared" si="219"/>
        <v>631.99475063754915</v>
      </c>
      <c r="Z161" s="277">
        <f t="shared" si="219"/>
        <v>606.36863431118286</v>
      </c>
      <c r="AA161" s="277">
        <f t="shared" si="219"/>
        <v>581.78189214231327</v>
      </c>
      <c r="AB161" s="277">
        <f t="shared" ref="AB161" si="220">AB154*AB158/1000</f>
        <v>558.19235365524537</v>
      </c>
    </row>
    <row r="162" spans="2:28">
      <c r="B162" s="66" t="s">
        <v>747</v>
      </c>
      <c r="C162" s="283"/>
      <c r="D162" s="283" t="e">
        <f t="shared" ref="D162:T162" si="221">D161/D149</f>
        <v>#DIV/0!</v>
      </c>
      <c r="E162" s="283">
        <f t="shared" si="221"/>
        <v>0</v>
      </c>
      <c r="F162" s="283">
        <f t="shared" si="221"/>
        <v>0.19791666666666669</v>
      </c>
      <c r="G162" s="283">
        <f t="shared" si="221"/>
        <v>0.20175438596491227</v>
      </c>
      <c r="H162" s="283">
        <f t="shared" si="221"/>
        <v>0.2089041095890411</v>
      </c>
      <c r="I162" s="283">
        <f t="shared" si="221"/>
        <v>0.19371727748691098</v>
      </c>
      <c r="J162" s="283">
        <f t="shared" si="221"/>
        <v>0.20987654320987653</v>
      </c>
      <c r="K162" s="283">
        <f t="shared" si="221"/>
        <v>0.2425373134328358</v>
      </c>
      <c r="L162" s="283">
        <f t="shared" si="221"/>
        <v>0.26602564102564102</v>
      </c>
      <c r="M162" s="283">
        <f t="shared" si="221"/>
        <v>0.2682857949731714</v>
      </c>
      <c r="N162" s="283">
        <f t="shared" si="221"/>
        <v>0.32915817069618403</v>
      </c>
      <c r="O162" s="283">
        <f t="shared" si="221"/>
        <v>0.23709050450101199</v>
      </c>
      <c r="P162" s="283">
        <f t="shared" si="221"/>
        <v>0.27635122722843442</v>
      </c>
      <c r="Q162" s="283">
        <f t="shared" si="221"/>
        <v>0.82669690943767182</v>
      </c>
      <c r="R162" s="283">
        <f t="shared" si="221"/>
        <v>0.6498694503571637</v>
      </c>
      <c r="S162" s="283">
        <f t="shared" si="221"/>
        <v>0.51594273043010663</v>
      </c>
      <c r="T162" s="283">
        <f t="shared" si="221"/>
        <v>0.3807116898784545</v>
      </c>
      <c r="U162" s="283">
        <f t="shared" ref="U162:AA162" ca="1" si="222">U161/U149</f>
        <v>0.27557241501072882</v>
      </c>
      <c r="V162" s="283">
        <f t="shared" ca="1" si="222"/>
        <v>0.2417096024185893</v>
      </c>
      <c r="W162" s="283">
        <f t="shared" ca="1" si="222"/>
        <v>0.22099907089073981</v>
      </c>
      <c r="X162" s="283">
        <f t="shared" ca="1" si="222"/>
        <v>0.20527755633752914</v>
      </c>
      <c r="Y162" s="283">
        <f t="shared" ca="1" si="222"/>
        <v>0.1895817593310043</v>
      </c>
      <c r="Z162" s="283">
        <f t="shared" ca="1" si="222"/>
        <v>0.17525033448417018</v>
      </c>
      <c r="AA162" s="283">
        <f t="shared" ca="1" si="222"/>
        <v>0.16211207122450819</v>
      </c>
      <c r="AB162" s="283">
        <f t="shared" ref="AB162" ca="1" si="223">AB161/AB149</f>
        <v>0.15003153927833668</v>
      </c>
    </row>
    <row r="164" spans="2:28">
      <c r="B164" s="66" t="s">
        <v>750</v>
      </c>
      <c r="C164" s="67"/>
      <c r="D164" s="67">
        <f t="shared" ref="D164:T164" si="224">D177+D161</f>
        <v>0</v>
      </c>
      <c r="E164" s="67">
        <f t="shared" si="224"/>
        <v>73.08</v>
      </c>
      <c r="F164" s="67">
        <f t="shared" si="224"/>
        <v>132.99</v>
      </c>
      <c r="G164" s="67">
        <f t="shared" si="224"/>
        <v>163.01999999999998</v>
      </c>
      <c r="H164" s="67">
        <f t="shared" si="224"/>
        <v>185.08199999999999</v>
      </c>
      <c r="I164" s="67">
        <f t="shared" si="224"/>
        <v>227.136</v>
      </c>
      <c r="J164" s="67">
        <f t="shared" si="224"/>
        <v>273.31200000000001</v>
      </c>
      <c r="K164" s="67">
        <f t="shared" si="224"/>
        <v>246.81999999999996</v>
      </c>
      <c r="L164" s="67">
        <f t="shared" si="224"/>
        <v>296.88894410425769</v>
      </c>
      <c r="M164" s="67">
        <f t="shared" si="224"/>
        <v>358.32500000000005</v>
      </c>
      <c r="N164" s="67">
        <f t="shared" si="224"/>
        <v>259.77600000000001</v>
      </c>
      <c r="O164" s="67">
        <f t="shared" si="224"/>
        <v>104.26171807173986</v>
      </c>
      <c r="P164" s="67">
        <f t="shared" si="224"/>
        <v>-335.38300608051628</v>
      </c>
      <c r="Q164" s="67">
        <f t="shared" si="224"/>
        <v>132.33431779634827</v>
      </c>
      <c r="R164" s="67">
        <f t="shared" si="224"/>
        <v>522.7320181285387</v>
      </c>
      <c r="S164" s="67">
        <f t="shared" si="224"/>
        <v>810.88400869092311</v>
      </c>
      <c r="T164" s="67">
        <f t="shared" si="224"/>
        <v>650.21389458908629</v>
      </c>
      <c r="U164" s="67">
        <f t="shared" ref="U164:AA164" ca="1" si="225">U177+U161</f>
        <v>746.75670903133459</v>
      </c>
      <c r="V164" s="67">
        <f t="shared" ca="1" si="225"/>
        <v>902.81273687570911</v>
      </c>
      <c r="W164" s="67">
        <f t="shared" ca="1" si="225"/>
        <v>1069.5253488039325</v>
      </c>
      <c r="X164" s="67">
        <f t="shared" ca="1" si="225"/>
        <v>1192.2006501011083</v>
      </c>
      <c r="Y164" s="67">
        <f t="shared" ca="1" si="225"/>
        <v>1337.1468375275695</v>
      </c>
      <c r="Z164" s="67">
        <f t="shared" ca="1" si="225"/>
        <v>1463.5346096910055</v>
      </c>
      <c r="AA164" s="67">
        <f t="shared" ca="1" si="225"/>
        <v>1592.2840251336584</v>
      </c>
      <c r="AB164" s="67">
        <f t="shared" ref="AB164" ca="1" si="226">AB177+AB161</f>
        <v>1724.0205540983807</v>
      </c>
    </row>
    <row r="165" spans="2:28">
      <c r="B165" s="66" t="s">
        <v>749</v>
      </c>
      <c r="C165" s="69"/>
      <c r="D165" s="69" t="e">
        <f t="shared" ref="D165:T165" si="227">D164/D149</f>
        <v>#DIV/0!</v>
      </c>
      <c r="E165" s="69">
        <f t="shared" si="227"/>
        <v>0.22580645161290322</v>
      </c>
      <c r="F165" s="69">
        <f t="shared" si="227"/>
        <v>0.40625</v>
      </c>
      <c r="G165" s="69">
        <f t="shared" si="227"/>
        <v>0.43333333333333329</v>
      </c>
      <c r="H165" s="69">
        <f t="shared" si="227"/>
        <v>0.38767123287671229</v>
      </c>
      <c r="I165" s="69">
        <f t="shared" si="227"/>
        <v>0.38115183246073292</v>
      </c>
      <c r="J165" s="69">
        <f t="shared" si="227"/>
        <v>0.38518518518518524</v>
      </c>
      <c r="K165" s="69">
        <f t="shared" si="227"/>
        <v>0.30597014925373134</v>
      </c>
      <c r="L165" s="69">
        <f t="shared" si="227"/>
        <v>0.33685897435897433</v>
      </c>
      <c r="M165" s="69">
        <f t="shared" si="227"/>
        <v>0.36797514826320249</v>
      </c>
      <c r="N165" s="69">
        <f t="shared" si="227"/>
        <v>0.28662976988057093</v>
      </c>
      <c r="O165" s="69">
        <f t="shared" si="227"/>
        <v>0.12991780936496233</v>
      </c>
      <c r="P165" s="69">
        <f t="shared" si="227"/>
        <v>-0.44274163371324105</v>
      </c>
      <c r="Q165" s="69">
        <f t="shared" si="227"/>
        <v>0.1147736187206069</v>
      </c>
      <c r="R165" s="69">
        <f t="shared" si="227"/>
        <v>0.30105781421068972</v>
      </c>
      <c r="S165" s="69">
        <f t="shared" si="227"/>
        <v>0.35079574574571953</v>
      </c>
      <c r="T165" s="69">
        <f t="shared" si="227"/>
        <v>0.26828233882323999</v>
      </c>
      <c r="U165" s="69">
        <f t="shared" ref="U165:AA165" ca="1" si="228">U164/U149</f>
        <v>0.27592576236364924</v>
      </c>
      <c r="V165" s="69">
        <f t="shared" ca="1" si="228"/>
        <v>0.30496259697415545</v>
      </c>
      <c r="W165" s="69">
        <f t="shared" ca="1" si="228"/>
        <v>0.34428168775881768</v>
      </c>
      <c r="X165" s="69">
        <f t="shared" ca="1" si="228"/>
        <v>0.37153556588179443</v>
      </c>
      <c r="Y165" s="69">
        <f t="shared" ca="1" si="228"/>
        <v>0.40110879036042407</v>
      </c>
      <c r="Z165" s="69">
        <f t="shared" ca="1" si="228"/>
        <v>0.42298515352606852</v>
      </c>
      <c r="AA165" s="69">
        <f t="shared" ca="1" si="228"/>
        <v>0.44368596681756434</v>
      </c>
      <c r="AB165" s="69">
        <f t="shared" ref="AB165" ca="1" si="229">AB164/AB149</f>
        <v>0.46338409292977306</v>
      </c>
    </row>
    <row r="167" spans="2:28">
      <c r="B167" s="66" t="s">
        <v>748</v>
      </c>
      <c r="C167" s="67"/>
      <c r="D167" s="67">
        <f t="shared" ref="D167:N167" si="230">D149-D177-D161</f>
        <v>0</v>
      </c>
      <c r="E167" s="67">
        <f t="shared" si="230"/>
        <v>250.56</v>
      </c>
      <c r="F167" s="67">
        <f t="shared" si="230"/>
        <v>194.37</v>
      </c>
      <c r="G167" s="67">
        <f t="shared" si="230"/>
        <v>213.18</v>
      </c>
      <c r="H167" s="67">
        <f t="shared" si="230"/>
        <v>292.33799999999997</v>
      </c>
      <c r="I167" s="67">
        <f t="shared" si="230"/>
        <v>368.78400000000005</v>
      </c>
      <c r="J167" s="67">
        <f t="shared" si="230"/>
        <v>436.24799999999993</v>
      </c>
      <c r="K167" s="67">
        <f t="shared" si="230"/>
        <v>559.86</v>
      </c>
      <c r="L167" s="67">
        <f t="shared" si="230"/>
        <v>584.45597083892415</v>
      </c>
      <c r="M167" s="67">
        <f t="shared" si="230"/>
        <v>615.45000000000005</v>
      </c>
      <c r="N167" s="67">
        <f t="shared" si="230"/>
        <v>646.53600000000006</v>
      </c>
      <c r="O167" s="277">
        <f t="shared" ref="O167:AB167" si="231">N167*(1+O168)</f>
        <v>698.25888000000009</v>
      </c>
      <c r="P167" s="277">
        <f>(P149-P177)-P161</f>
        <v>1092.8970516146669</v>
      </c>
      <c r="Q167" s="277">
        <f>(Q149-Q177)-Q161</f>
        <v>1020.6686045780809</v>
      </c>
      <c r="R167" s="277">
        <f>(R149-R177)-R161</f>
        <v>1213.5857037649525</v>
      </c>
      <c r="S167" s="277">
        <f>(S149-S177)-S161</f>
        <v>1500.6719851457487</v>
      </c>
      <c r="T167" s="277">
        <f>(T149-T177)-T161</f>
        <v>1773.4040649124713</v>
      </c>
      <c r="U167" s="277">
        <f t="shared" si="231"/>
        <v>1959.6114917282807</v>
      </c>
      <c r="V167" s="277">
        <f t="shared" si="231"/>
        <v>2057.5920663146949</v>
      </c>
      <c r="W167" s="277">
        <f t="shared" si="231"/>
        <v>2037.016145651548</v>
      </c>
      <c r="X167" s="277">
        <f t="shared" si="231"/>
        <v>2016.6459841950325</v>
      </c>
      <c r="Y167" s="277">
        <f t="shared" si="231"/>
        <v>1996.4795243530821</v>
      </c>
      <c r="Z167" s="277">
        <f t="shared" si="231"/>
        <v>1996.4795243530821</v>
      </c>
      <c r="AA167" s="277">
        <f t="shared" si="231"/>
        <v>1996.4795243530821</v>
      </c>
      <c r="AB167" s="277">
        <f t="shared" si="231"/>
        <v>1996.4795243530821</v>
      </c>
    </row>
    <row r="168" spans="2:28">
      <c r="B168" s="66" t="s">
        <v>63</v>
      </c>
      <c r="C168" s="69"/>
      <c r="D168" s="69"/>
      <c r="E168" s="69" t="e">
        <f t="shared" ref="E168:N168" si="232">E167/D167-1</f>
        <v>#DIV/0!</v>
      </c>
      <c r="F168" s="69">
        <f t="shared" si="232"/>
        <v>-0.22425766283524906</v>
      </c>
      <c r="G168" s="69">
        <f t="shared" si="232"/>
        <v>9.6774193548387011E-2</v>
      </c>
      <c r="H168" s="69">
        <f t="shared" si="232"/>
        <v>0.37132001125809144</v>
      </c>
      <c r="I168" s="69">
        <f t="shared" si="232"/>
        <v>0.26149867618989009</v>
      </c>
      <c r="J168" s="69">
        <f t="shared" si="232"/>
        <v>0.18293635298711397</v>
      </c>
      <c r="K168" s="69">
        <f t="shared" si="232"/>
        <v>0.2833525884359358</v>
      </c>
      <c r="L168" s="69">
        <f t="shared" si="232"/>
        <v>4.39323595879757E-2</v>
      </c>
      <c r="M168" s="69">
        <f t="shared" si="232"/>
        <v>5.3030562963686245E-2</v>
      </c>
      <c r="N168" s="69">
        <f t="shared" si="232"/>
        <v>5.0509383378016137E-2</v>
      </c>
      <c r="O168" s="280">
        <v>0.08</v>
      </c>
      <c r="P168" s="69">
        <f>P167/O167-1</f>
        <v>0.5651745834076134</v>
      </c>
      <c r="Q168" s="69">
        <f>Q167/P167-1</f>
        <v>-6.6088976020087453E-2</v>
      </c>
      <c r="R168" s="69">
        <f>R167/Q167-1</f>
        <v>0.18901051557926452</v>
      </c>
      <c r="S168" s="69">
        <f>S167/R167-1</f>
        <v>0.23656036857566609</v>
      </c>
      <c r="T168" s="69">
        <f>T167/S167-1</f>
        <v>0.18173996880486465</v>
      </c>
      <c r="U168" s="280">
        <v>0.105</v>
      </c>
      <c r="V168" s="280">
        <v>0.05</v>
      </c>
      <c r="W168" s="280">
        <v>-0.01</v>
      </c>
      <c r="X168" s="280">
        <v>-0.01</v>
      </c>
      <c r="Y168" s="280">
        <v>-0.01</v>
      </c>
      <c r="Z168" s="280">
        <v>0</v>
      </c>
      <c r="AA168" s="280">
        <v>0</v>
      </c>
      <c r="AB168" s="280">
        <v>0</v>
      </c>
    </row>
    <row r="169" spans="2:28">
      <c r="B169" s="66" t="s">
        <v>747</v>
      </c>
      <c r="C169" s="69"/>
      <c r="D169" s="69" t="e">
        <f t="shared" ref="D169:S169" si="233">D167/D149</f>
        <v>#DIV/0!</v>
      </c>
      <c r="E169" s="69">
        <f t="shared" si="233"/>
        <v>0.77419354838709686</v>
      </c>
      <c r="F169" s="69">
        <f t="shared" si="233"/>
        <v>0.59375</v>
      </c>
      <c r="G169" s="69">
        <f t="shared" si="233"/>
        <v>0.56666666666666665</v>
      </c>
      <c r="H169" s="69">
        <f t="shared" si="233"/>
        <v>0.61232876712328754</v>
      </c>
      <c r="I169" s="69">
        <f t="shared" si="233"/>
        <v>0.61884816753926697</v>
      </c>
      <c r="J169" s="69">
        <f t="shared" si="233"/>
        <v>0.61481481481481481</v>
      </c>
      <c r="K169" s="69">
        <f t="shared" si="233"/>
        <v>0.69402985074626866</v>
      </c>
      <c r="L169" s="69">
        <f t="shared" si="233"/>
        <v>0.66314102564102573</v>
      </c>
      <c r="M169" s="69">
        <f t="shared" si="233"/>
        <v>0.63202485173679746</v>
      </c>
      <c r="N169" s="69">
        <f t="shared" si="233"/>
        <v>0.71337023011942902</v>
      </c>
      <c r="O169" s="69">
        <f t="shared" si="233"/>
        <v>0.87008219063503767</v>
      </c>
      <c r="P169" s="69">
        <f t="shared" si="233"/>
        <v>1.442741633713241</v>
      </c>
      <c r="Q169" s="69">
        <f t="shared" si="233"/>
        <v>0.88522638127939302</v>
      </c>
      <c r="R169" s="69">
        <f t="shared" si="233"/>
        <v>0.69894218578931033</v>
      </c>
      <c r="S169" s="69">
        <f t="shared" si="233"/>
        <v>0.64920425425428052</v>
      </c>
      <c r="T169" s="69">
        <f t="shared" ref="T169" si="234">T167/T149</f>
        <v>0.73171766117676018</v>
      </c>
      <c r="U169" s="69">
        <f t="shared" ref="U169:AA169" ca="1" si="235">U167/U149</f>
        <v>0.7240742376363507</v>
      </c>
      <c r="V169" s="69">
        <f t="shared" ca="1" si="235"/>
        <v>0.6950374030258446</v>
      </c>
      <c r="W169" s="69">
        <f t="shared" ca="1" si="235"/>
        <v>0.65571831224118238</v>
      </c>
      <c r="X169" s="69">
        <f t="shared" ca="1" si="235"/>
        <v>0.62846443411820552</v>
      </c>
      <c r="Y169" s="69">
        <f t="shared" ca="1" si="235"/>
        <v>0.59889120963957587</v>
      </c>
      <c r="Z169" s="69">
        <f t="shared" ca="1" si="235"/>
        <v>0.57701484647393142</v>
      </c>
      <c r="AA169" s="69">
        <f t="shared" ca="1" si="235"/>
        <v>0.55631403318243566</v>
      </c>
      <c r="AB169" s="69">
        <f t="shared" ref="AB169" ca="1" si="236">AB167/AB149</f>
        <v>0.53661590707022688</v>
      </c>
    </row>
    <row r="170" spans="2:28">
      <c r="B170" s="66" t="s">
        <v>746</v>
      </c>
      <c r="C170" s="69"/>
      <c r="D170" s="277">
        <f t="shared" ref="D170:S170" si="237">D167/D126*1000</f>
        <v>0</v>
      </c>
      <c r="E170" s="277">
        <f t="shared" si="237"/>
        <v>1809.0974729241877</v>
      </c>
      <c r="F170" s="277">
        <f t="shared" si="237"/>
        <v>1170.9036144578313</v>
      </c>
      <c r="G170" s="277">
        <f t="shared" si="237"/>
        <v>982.39631336405535</v>
      </c>
      <c r="H170" s="277">
        <f t="shared" si="237"/>
        <v>984.30303030303025</v>
      </c>
      <c r="I170" s="277">
        <f t="shared" si="237"/>
        <v>898.37758830694293</v>
      </c>
      <c r="J170" s="277">
        <f t="shared" si="237"/>
        <v>762.00524017467239</v>
      </c>
      <c r="K170" s="277">
        <f t="shared" si="237"/>
        <v>741.73290937996831</v>
      </c>
      <c r="L170" s="277">
        <f t="shared" si="237"/>
        <v>593.71797118947995</v>
      </c>
      <c r="M170" s="277">
        <f t="shared" si="237"/>
        <v>480.25751072961378</v>
      </c>
      <c r="N170" s="277">
        <f t="shared" si="237"/>
        <v>417.88837539992892</v>
      </c>
      <c r="O170" s="277">
        <f t="shared" si="237"/>
        <v>434.30812004353913</v>
      </c>
      <c r="P170" s="277">
        <f t="shared" si="237"/>
        <v>663.56833734952454</v>
      </c>
      <c r="Q170" s="277">
        <f t="shared" si="237"/>
        <v>419.42412351677871</v>
      </c>
      <c r="R170" s="277">
        <f t="shared" si="237"/>
        <v>305.34298748646432</v>
      </c>
      <c r="S170" s="277">
        <f t="shared" si="237"/>
        <v>264.13306083705868</v>
      </c>
      <c r="T170" s="277">
        <f t="shared" ref="T170" si="238">T167/T126*1000</f>
        <v>247.02661441878692</v>
      </c>
      <c r="U170" s="277">
        <f t="shared" ref="U170:AA170" si="239">U167/U126*1000</f>
        <v>247.49552146654591</v>
      </c>
      <c r="V170" s="277">
        <f t="shared" si="239"/>
        <v>253.76228401957701</v>
      </c>
      <c r="W170" s="277">
        <f t="shared" si="239"/>
        <v>246.22859710707698</v>
      </c>
      <c r="X170" s="277">
        <f t="shared" si="239"/>
        <v>239.56186569770136</v>
      </c>
      <c r="Y170" s="277">
        <f t="shared" si="239"/>
        <v>233.53437469110204</v>
      </c>
      <c r="Z170" s="277">
        <f t="shared" si="239"/>
        <v>230.29032366031552</v>
      </c>
      <c r="AA170" s="277">
        <f t="shared" si="239"/>
        <v>227.33285421754672</v>
      </c>
      <c r="AB170" s="277">
        <f t="shared" ref="AB170" si="240">AB167/AB126*1000</f>
        <v>224.58945805542754</v>
      </c>
    </row>
    <row r="171" spans="2:28">
      <c r="B171" s="66" t="s">
        <v>63</v>
      </c>
      <c r="C171" s="69"/>
      <c r="D171" s="69"/>
      <c r="E171" s="69" t="e">
        <f t="shared" ref="E171:AB171" si="241">E170/D170-1</f>
        <v>#DIV/0!</v>
      </c>
      <c r="F171" s="69">
        <f t="shared" si="241"/>
        <v>-0.35276919459446987</v>
      </c>
      <c r="G171" s="69">
        <f t="shared" si="241"/>
        <v>-0.16099301323026605</v>
      </c>
      <c r="H171" s="69">
        <f t="shared" si="241"/>
        <v>1.9408836464844814E-3</v>
      </c>
      <c r="I171" s="69">
        <f t="shared" si="241"/>
        <v>-8.7295720271870048E-2</v>
      </c>
      <c r="J171" s="69">
        <f t="shared" si="241"/>
        <v>-0.15179847528172874</v>
      </c>
      <c r="K171" s="69">
        <f t="shared" si="241"/>
        <v>-2.6603925702738063E-2</v>
      </c>
      <c r="L171" s="69">
        <f t="shared" si="241"/>
        <v>-0.19955287990958559</v>
      </c>
      <c r="M171" s="69">
        <f t="shared" si="241"/>
        <v>-0.1911016104709693</v>
      </c>
      <c r="N171" s="69">
        <f t="shared" si="241"/>
        <v>-0.12986602798763691</v>
      </c>
      <c r="O171" s="69">
        <f t="shared" si="241"/>
        <v>3.9292178510340614E-2</v>
      </c>
      <c r="P171" s="69">
        <f t="shared" si="241"/>
        <v>0.52787458195117831</v>
      </c>
      <c r="Q171" s="69">
        <f t="shared" si="241"/>
        <v>-0.36792625580648608</v>
      </c>
      <c r="R171" s="69">
        <f t="shared" si="241"/>
        <v>-0.27199469375716689</v>
      </c>
      <c r="S171" s="69">
        <f t="shared" si="241"/>
        <v>-0.13496274137041531</v>
      </c>
      <c r="T171" s="69">
        <f t="shared" si="241"/>
        <v>-6.476450302760306E-2</v>
      </c>
      <c r="U171" s="69">
        <f t="shared" si="241"/>
        <v>1.8982045673996417E-3</v>
      </c>
      <c r="V171" s="69">
        <f t="shared" si="241"/>
        <v>2.5320710919927381E-2</v>
      </c>
      <c r="W171" s="69">
        <f t="shared" si="241"/>
        <v>-2.9687969359224464E-2</v>
      </c>
      <c r="X171" s="69">
        <f t="shared" si="241"/>
        <v>-2.7075374216084525E-2</v>
      </c>
      <c r="Y171" s="69">
        <f t="shared" si="241"/>
        <v>-2.5160477812463222E-2</v>
      </c>
      <c r="Z171" s="69">
        <f t="shared" si="241"/>
        <v>-1.3891107187442797E-2</v>
      </c>
      <c r="AA171" s="69">
        <f t="shared" si="241"/>
        <v>-1.2842352191623774E-2</v>
      </c>
      <c r="AB171" s="69">
        <f t="shared" si="241"/>
        <v>-1.2067750486666973E-2</v>
      </c>
    </row>
    <row r="172" spans="2:28">
      <c r="B172" s="66" t="s">
        <v>745</v>
      </c>
      <c r="C172" s="277"/>
      <c r="D172" s="277">
        <f t="shared" ref="D172:S172" si="242">D167/D131</f>
        <v>0</v>
      </c>
      <c r="E172" s="277">
        <f t="shared" si="242"/>
        <v>72</v>
      </c>
      <c r="F172" s="277">
        <f t="shared" si="242"/>
        <v>57</v>
      </c>
      <c r="G172" s="277">
        <f t="shared" si="242"/>
        <v>64.600000000000009</v>
      </c>
      <c r="H172" s="277">
        <f t="shared" si="242"/>
        <v>89.399999999999991</v>
      </c>
      <c r="I172" s="277">
        <f t="shared" si="242"/>
        <v>118.20000000000002</v>
      </c>
      <c r="J172" s="277">
        <f t="shared" si="242"/>
        <v>149.39999999999998</v>
      </c>
      <c r="K172" s="277">
        <f t="shared" si="242"/>
        <v>186.00000000000003</v>
      </c>
      <c r="L172" s="277">
        <f t="shared" si="242"/>
        <v>206.90000000000003</v>
      </c>
      <c r="M172" s="277">
        <f t="shared" si="242"/>
        <v>223.8</v>
      </c>
      <c r="N172" s="277">
        <f t="shared" si="242"/>
        <v>244.9</v>
      </c>
      <c r="O172" s="277">
        <f t="shared" si="242"/>
        <v>258.61439999999999</v>
      </c>
      <c r="P172" s="277">
        <f t="shared" si="242"/>
        <v>384.82290549812217</v>
      </c>
      <c r="Q172" s="277">
        <f t="shared" si="242"/>
        <v>319.95881021256457</v>
      </c>
      <c r="R172" s="277">
        <f t="shared" si="242"/>
        <v>360.11445215577226</v>
      </c>
      <c r="S172" s="277">
        <f t="shared" si="242"/>
        <v>460.32882979930946</v>
      </c>
      <c r="T172" s="277">
        <f t="shared" ref="T172" si="243">T167/T131</f>
        <v>539.02859115880585</v>
      </c>
      <c r="U172" s="277">
        <f t="shared" ref="U172:AA172" si="244">U167/U131</f>
        <v>586.71002746355714</v>
      </c>
      <c r="V172" s="277">
        <f t="shared" si="244"/>
        <v>612.37859116508776</v>
      </c>
      <c r="W172" s="277">
        <f t="shared" si="244"/>
        <v>591.46810268627996</v>
      </c>
      <c r="X172" s="277">
        <f t="shared" si="244"/>
        <v>571.27163088723637</v>
      </c>
      <c r="Y172" s="277">
        <f t="shared" si="244"/>
        <v>551.76479471059895</v>
      </c>
      <c r="Z172" s="277">
        <f t="shared" si="244"/>
        <v>538.30711679082833</v>
      </c>
      <c r="AA172" s="277">
        <f t="shared" si="244"/>
        <v>525.1776749178814</v>
      </c>
      <c r="AB172" s="277">
        <f t="shared" ref="AB172" si="245">AB167/AB131</f>
        <v>512.36846333451842</v>
      </c>
    </row>
    <row r="173" spans="2:28">
      <c r="B173" s="66" t="s">
        <v>63</v>
      </c>
      <c r="C173" s="69"/>
      <c r="D173" s="69"/>
      <c r="E173" s="69" t="e">
        <f t="shared" ref="E173:AB173" si="246">E172/D172-1</f>
        <v>#DIV/0!</v>
      </c>
      <c r="F173" s="69">
        <f t="shared" si="246"/>
        <v>-0.20833333333333337</v>
      </c>
      <c r="G173" s="69">
        <f t="shared" si="246"/>
        <v>0.13333333333333353</v>
      </c>
      <c r="H173" s="69">
        <f t="shared" si="246"/>
        <v>0.38390092879256943</v>
      </c>
      <c r="I173" s="69">
        <f t="shared" si="246"/>
        <v>0.32214765100671183</v>
      </c>
      <c r="J173" s="69">
        <f t="shared" si="246"/>
        <v>0.26395939086294384</v>
      </c>
      <c r="K173" s="69">
        <f t="shared" si="246"/>
        <v>0.24497991967871524</v>
      </c>
      <c r="L173" s="69">
        <f t="shared" si="246"/>
        <v>0.11236559139784941</v>
      </c>
      <c r="M173" s="69">
        <f t="shared" si="246"/>
        <v>8.1681971967133782E-2</v>
      </c>
      <c r="N173" s="69">
        <f t="shared" si="246"/>
        <v>9.4280607685433448E-2</v>
      </c>
      <c r="O173" s="69">
        <f t="shared" si="246"/>
        <v>5.5999999999999828E-2</v>
      </c>
      <c r="P173" s="69">
        <f t="shared" si="246"/>
        <v>0.48801808985935113</v>
      </c>
      <c r="Q173" s="69">
        <f t="shared" si="246"/>
        <v>-0.1685557027890433</v>
      </c>
      <c r="R173" s="69">
        <f t="shared" si="246"/>
        <v>0.12550253551865098</v>
      </c>
      <c r="S173" s="69">
        <f t="shared" si="246"/>
        <v>0.27828479819018237</v>
      </c>
      <c r="T173" s="69">
        <f t="shared" si="246"/>
        <v>0.17096422440846748</v>
      </c>
      <c r="U173" s="69">
        <f t="shared" si="246"/>
        <v>8.8458083832335443E-2</v>
      </c>
      <c r="V173" s="69">
        <f t="shared" si="246"/>
        <v>4.3749999999999956E-2</v>
      </c>
      <c r="W173" s="69">
        <f t="shared" si="246"/>
        <v>-3.4146341463414553E-2</v>
      </c>
      <c r="X173" s="69">
        <f t="shared" si="246"/>
        <v>-3.4146341463414442E-2</v>
      </c>
      <c r="Y173" s="69">
        <f t="shared" si="246"/>
        <v>-3.4146341463414775E-2</v>
      </c>
      <c r="Z173" s="69">
        <f t="shared" si="246"/>
        <v>-2.4390243902438824E-2</v>
      </c>
      <c r="AA173" s="69">
        <f t="shared" si="246"/>
        <v>-2.4390243902438824E-2</v>
      </c>
      <c r="AB173" s="69">
        <f t="shared" si="246"/>
        <v>-2.4390243902439046E-2</v>
      </c>
    </row>
    <row r="174" spans="2:28">
      <c r="B174" s="66" t="s">
        <v>744</v>
      </c>
      <c r="C174" s="277"/>
      <c r="D174" s="277">
        <f t="shared" ref="D174:S174" si="247">D172/D126*1000</f>
        <v>0</v>
      </c>
      <c r="E174" s="277">
        <f t="shared" si="247"/>
        <v>519.85559566787003</v>
      </c>
      <c r="F174" s="277">
        <f t="shared" si="247"/>
        <v>343.37349397590361</v>
      </c>
      <c r="G174" s="277">
        <f t="shared" si="247"/>
        <v>297.69585253456228</v>
      </c>
      <c r="H174" s="277">
        <f t="shared" si="247"/>
        <v>301.01010101010098</v>
      </c>
      <c r="I174" s="277">
        <f t="shared" si="247"/>
        <v>287.94153471376376</v>
      </c>
      <c r="J174" s="277">
        <f t="shared" si="247"/>
        <v>260.9606986899563</v>
      </c>
      <c r="K174" s="277">
        <f t="shared" si="247"/>
        <v>246.42289348171707</v>
      </c>
      <c r="L174" s="277">
        <f t="shared" si="247"/>
        <v>210.17878911011786</v>
      </c>
      <c r="M174" s="277">
        <f t="shared" si="247"/>
        <v>174.63909481076865</v>
      </c>
      <c r="N174" s="277">
        <f t="shared" si="247"/>
        <v>158.29105128785184</v>
      </c>
      <c r="O174" s="277">
        <f t="shared" si="247"/>
        <v>160.85485927538485</v>
      </c>
      <c r="P174" s="277">
        <f t="shared" si="247"/>
        <v>233.65082301039598</v>
      </c>
      <c r="Q174" s="277">
        <f t="shared" si="247"/>
        <v>131.48091646294003</v>
      </c>
      <c r="R174" s="277">
        <f t="shared" si="247"/>
        <v>90.606227740790601</v>
      </c>
      <c r="S174" s="277">
        <f t="shared" si="247"/>
        <v>81.022411299711251</v>
      </c>
      <c r="T174" s="277">
        <f t="shared" ref="T174" si="248">T172/T126*1000</f>
        <v>75.084077330938271</v>
      </c>
      <c r="U174" s="277">
        <f t="shared" ref="U174:AA174" si="249">U172/U126*1000</f>
        <v>74.100455528905968</v>
      </c>
      <c r="V174" s="277">
        <f t="shared" si="249"/>
        <v>75.524489291540775</v>
      </c>
      <c r="W174" s="277">
        <f t="shared" si="249"/>
        <v>71.494946895202389</v>
      </c>
      <c r="X174" s="277">
        <f t="shared" si="249"/>
        <v>67.862628735078729</v>
      </c>
      <c r="Y174" s="277">
        <f t="shared" si="249"/>
        <v>64.541631776092046</v>
      </c>
      <c r="Z174" s="277">
        <f t="shared" si="249"/>
        <v>62.092758098573562</v>
      </c>
      <c r="AA174" s="277">
        <f t="shared" si="249"/>
        <v>59.800332712704773</v>
      </c>
      <c r="AB174" s="277">
        <f t="shared" ref="AB174" si="250">AB172/AB126*1000</f>
        <v>57.637733871715298</v>
      </c>
    </row>
    <row r="175" spans="2:28">
      <c r="B175" s="66" t="s">
        <v>63</v>
      </c>
      <c r="C175" s="69"/>
      <c r="D175" s="69"/>
      <c r="E175" s="69" t="e">
        <f t="shared" ref="E175:AB175" si="251">E174/D174-1</f>
        <v>#DIV/0!</v>
      </c>
      <c r="F175" s="69">
        <f t="shared" si="251"/>
        <v>-0.33948293172690758</v>
      </c>
      <c r="G175" s="69">
        <f t="shared" si="251"/>
        <v>-0.13302611367127481</v>
      </c>
      <c r="H175" s="69">
        <f t="shared" si="251"/>
        <v>1.1133001845075929E-2</v>
      </c>
      <c r="I175" s="69">
        <f t="shared" si="251"/>
        <v>-4.3415706823402234E-2</v>
      </c>
      <c r="J175" s="69">
        <f t="shared" si="251"/>
        <v>-9.3702480438011437E-2</v>
      </c>
      <c r="K175" s="69">
        <f t="shared" si="251"/>
        <v>-5.5708791711626238E-2</v>
      </c>
      <c r="L175" s="69">
        <f t="shared" si="251"/>
        <v>-0.14708091386926381</v>
      </c>
      <c r="M175" s="69">
        <f t="shared" si="251"/>
        <v>-0.16909267795205107</v>
      </c>
      <c r="N175" s="69">
        <f t="shared" si="251"/>
        <v>-9.3610445820455301E-2</v>
      </c>
      <c r="O175" s="69">
        <f t="shared" si="251"/>
        <v>1.6196796765666432E-2</v>
      </c>
      <c r="P175" s="69">
        <f t="shared" si="251"/>
        <v>0.45255682086907822</v>
      </c>
      <c r="Q175" s="69">
        <f t="shared" si="251"/>
        <v>-0.43727603965216955</v>
      </c>
      <c r="R175" s="69">
        <f t="shared" si="251"/>
        <v>-0.31087925017369811</v>
      </c>
      <c r="S175" s="69">
        <f t="shared" si="251"/>
        <v>-0.10577436761297532</v>
      </c>
      <c r="T175" s="69">
        <f t="shared" si="251"/>
        <v>-7.3292486282670599E-2</v>
      </c>
      <c r="U175" s="69">
        <f t="shared" si="251"/>
        <v>-1.3100271548878717E-2</v>
      </c>
      <c r="V175" s="69">
        <f t="shared" si="251"/>
        <v>1.9217611450165872E-2</v>
      </c>
      <c r="W175" s="69">
        <f t="shared" si="251"/>
        <v>-5.3354116448023681E-2</v>
      </c>
      <c r="X175" s="69">
        <f t="shared" si="251"/>
        <v>-5.0805243137643341E-2</v>
      </c>
      <c r="Y175" s="69">
        <f t="shared" si="251"/>
        <v>-4.8937051524354458E-2</v>
      </c>
      <c r="Z175" s="69">
        <f t="shared" si="251"/>
        <v>-3.794254359750493E-2</v>
      </c>
      <c r="AA175" s="69">
        <f t="shared" si="251"/>
        <v>-3.6919367991827934E-2</v>
      </c>
      <c r="AB175" s="69">
        <f t="shared" si="251"/>
        <v>-3.616365901138241E-2</v>
      </c>
    </row>
    <row r="177" spans="2:28">
      <c r="B177" s="70" t="s">
        <v>4</v>
      </c>
      <c r="C177" s="71"/>
      <c r="D177" s="71">
        <f t="shared" ref="D177:N177" si="252">D7</f>
        <v>0</v>
      </c>
      <c r="E177" s="71">
        <f t="shared" si="252"/>
        <v>73.08</v>
      </c>
      <c r="F177" s="71">
        <f t="shared" si="252"/>
        <v>68.2</v>
      </c>
      <c r="G177" s="71">
        <f t="shared" si="252"/>
        <v>87.11999999999999</v>
      </c>
      <c r="H177" s="71">
        <f t="shared" si="252"/>
        <v>85.347000000000008</v>
      </c>
      <c r="I177" s="71">
        <f t="shared" si="252"/>
        <v>111.696</v>
      </c>
      <c r="J177" s="71">
        <f t="shared" si="252"/>
        <v>124.392</v>
      </c>
      <c r="K177" s="71">
        <f t="shared" si="252"/>
        <v>51.169999999999995</v>
      </c>
      <c r="L177" s="71">
        <f t="shared" si="252"/>
        <v>62.428598141808713</v>
      </c>
      <c r="M177" s="71">
        <f t="shared" si="252"/>
        <v>97.075000000000017</v>
      </c>
      <c r="N177" s="71">
        <f t="shared" si="252"/>
        <v>-38.544000000000004</v>
      </c>
      <c r="O177" s="71">
        <f>O149-O161-O167</f>
        <v>-86.008295397542838</v>
      </c>
      <c r="P177" s="372">
        <f>P30/P26</f>
        <v>-544.72294220665492</v>
      </c>
      <c r="Q177" s="372">
        <f>Q30/Q26</f>
        <v>-820.84963470319633</v>
      </c>
      <c r="R177" s="372">
        <f>R30/R26</f>
        <v>-605.64782544378693</v>
      </c>
      <c r="S177" s="372">
        <f>S30/S26</f>
        <v>-381.74650231124809</v>
      </c>
      <c r="T177" s="372">
        <f>T30/T26</f>
        <v>-272.48579439252336</v>
      </c>
      <c r="U177" s="71">
        <f t="shared" ref="U177:AA177" ca="1" si="253">U149-U161-U167</f>
        <v>0.95628803976637755</v>
      </c>
      <c r="V177" s="71">
        <f t="shared" ca="1" si="253"/>
        <v>187.25446889847444</v>
      </c>
      <c r="W177" s="71">
        <f t="shared" ca="1" si="253"/>
        <v>382.98256484574085</v>
      </c>
      <c r="X177" s="71">
        <f t="shared" ca="1" si="253"/>
        <v>533.49645435089155</v>
      </c>
      <c r="Y177" s="71">
        <f t="shared" ca="1" si="253"/>
        <v>705.1520868900202</v>
      </c>
      <c r="Z177" s="71">
        <f t="shared" ca="1" si="253"/>
        <v>857.16597537982261</v>
      </c>
      <c r="AA177" s="71">
        <f t="shared" ca="1" si="253"/>
        <v>1010.5021329913452</v>
      </c>
      <c r="AB177" s="71">
        <f t="shared" ref="AB177" ca="1" si="254">AB149-AB161-AB167</f>
        <v>1165.8282004431353</v>
      </c>
    </row>
    <row r="178" spans="2:28">
      <c r="B178" s="70" t="s">
        <v>374</v>
      </c>
      <c r="C178" s="112"/>
      <c r="D178" s="112" t="e">
        <f t="shared" ref="D178:T178" si="255">D177/D149</f>
        <v>#DIV/0!</v>
      </c>
      <c r="E178" s="112">
        <f t="shared" si="255"/>
        <v>0.22580645161290322</v>
      </c>
      <c r="F178" s="112">
        <f t="shared" si="255"/>
        <v>0.20833333333333334</v>
      </c>
      <c r="G178" s="112">
        <f t="shared" si="255"/>
        <v>0.23157894736842102</v>
      </c>
      <c r="H178" s="112">
        <f t="shared" si="255"/>
        <v>0.17876712328767125</v>
      </c>
      <c r="I178" s="112">
        <f t="shared" si="255"/>
        <v>0.18743455497382197</v>
      </c>
      <c r="J178" s="112">
        <f t="shared" si="255"/>
        <v>0.17530864197530865</v>
      </c>
      <c r="K178" s="112">
        <f t="shared" si="255"/>
        <v>6.3432835820895525E-2</v>
      </c>
      <c r="L178" s="112">
        <f t="shared" si="255"/>
        <v>7.0833333333333331E-2</v>
      </c>
      <c r="M178" s="112">
        <f t="shared" si="255"/>
        <v>9.9689353290031077E-2</v>
      </c>
      <c r="N178" s="112">
        <f t="shared" si="255"/>
        <v>-4.2528400815613168E-2</v>
      </c>
      <c r="O178" s="112">
        <f t="shared" si="255"/>
        <v>-0.10717269513604967</v>
      </c>
      <c r="P178" s="112">
        <f t="shared" si="255"/>
        <v>-0.71909286094167546</v>
      </c>
      <c r="Q178" s="112">
        <f t="shared" si="255"/>
        <v>-0.71192329071706495</v>
      </c>
      <c r="R178" s="112">
        <f t="shared" si="255"/>
        <v>-0.34881163614647392</v>
      </c>
      <c r="S178" s="112">
        <f t="shared" si="255"/>
        <v>-0.16514698468438713</v>
      </c>
      <c r="T178" s="112">
        <f t="shared" si="255"/>
        <v>-0.11242935105521455</v>
      </c>
      <c r="U178" s="112">
        <f t="shared" ref="U178:AA178" ca="1" si="256">U177/U149</f>
        <v>3.5334735292040807E-4</v>
      </c>
      <c r="V178" s="112">
        <f t="shared" ca="1" si="256"/>
        <v>6.3252994555566128E-2</v>
      </c>
      <c r="W178" s="112">
        <f t="shared" ca="1" si="256"/>
        <v>0.1232826168680778</v>
      </c>
      <c r="X178" s="112">
        <f t="shared" ca="1" si="256"/>
        <v>0.16625800954426534</v>
      </c>
      <c r="Y178" s="112">
        <f t="shared" ca="1" si="256"/>
        <v>0.21152703102941975</v>
      </c>
      <c r="Z178" s="112">
        <f t="shared" ca="1" si="256"/>
        <v>0.24773481904189831</v>
      </c>
      <c r="AA178" s="112">
        <f t="shared" ca="1" si="256"/>
        <v>0.28157389559305618</v>
      </c>
      <c r="AB178" s="112">
        <f t="shared" ref="AB178" ca="1" si="257">AB177/AB149</f>
        <v>0.31335255365143638</v>
      </c>
    </row>
    <row r="179" spans="2:28">
      <c r="B179" s="66" t="s">
        <v>63</v>
      </c>
      <c r="C179" s="69"/>
      <c r="D179" s="69"/>
      <c r="E179" s="69" t="e">
        <f t="shared" ref="E179:AB179" si="258">E177/D177-1</f>
        <v>#DIV/0!</v>
      </c>
      <c r="F179" s="69">
        <f t="shared" si="258"/>
        <v>-6.6776135741652975E-2</v>
      </c>
      <c r="G179" s="69">
        <f t="shared" si="258"/>
        <v>0.27741935483870939</v>
      </c>
      <c r="H179" s="69">
        <f t="shared" si="258"/>
        <v>-2.0351239669421317E-2</v>
      </c>
      <c r="I179" s="69">
        <f t="shared" si="258"/>
        <v>0.30872789904741804</v>
      </c>
      <c r="J179" s="69">
        <f t="shared" si="258"/>
        <v>0.11366566394499356</v>
      </c>
      <c r="K179" s="69">
        <f t="shared" si="258"/>
        <v>-0.58863914078075763</v>
      </c>
      <c r="L179" s="69">
        <f t="shared" si="258"/>
        <v>0.22002341492688537</v>
      </c>
      <c r="M179" s="69">
        <f t="shared" si="258"/>
        <v>0.55497645132909779</v>
      </c>
      <c r="N179" s="69">
        <f t="shared" si="258"/>
        <v>-1.3970538243626063</v>
      </c>
      <c r="O179" s="69">
        <f t="shared" si="258"/>
        <v>1.2314314912189404</v>
      </c>
      <c r="P179" s="69">
        <f t="shared" si="258"/>
        <v>5.3333767945157655</v>
      </c>
      <c r="Q179" s="69">
        <f t="shared" si="258"/>
        <v>0.50691217700132318</v>
      </c>
      <c r="R179" s="69">
        <f t="shared" si="258"/>
        <v>-0.26216958643981403</v>
      </c>
      <c r="S179" s="69">
        <f t="shared" si="258"/>
        <v>-0.3696889738991066</v>
      </c>
      <c r="T179" s="69">
        <f t="shared" si="258"/>
        <v>-0.28621272822990151</v>
      </c>
      <c r="U179" s="69">
        <f t="shared" ca="1" si="258"/>
        <v>-1.003509496859821</v>
      </c>
      <c r="V179" s="69">
        <f t="shared" ca="1" si="258"/>
        <v>194.81387731694412</v>
      </c>
      <c r="W179" s="69">
        <f t="shared" ca="1" si="258"/>
        <v>1.0452519349665623</v>
      </c>
      <c r="X179" s="69">
        <f t="shared" ca="1" si="258"/>
        <v>0.39300454725863365</v>
      </c>
      <c r="Y179" s="69">
        <f t="shared" ca="1" si="258"/>
        <v>0.3217559013545519</v>
      </c>
      <c r="Z179" s="69">
        <f t="shared" ca="1" si="258"/>
        <v>0.21557603149164528</v>
      </c>
      <c r="AA179" s="69">
        <f t="shared" ca="1" si="258"/>
        <v>0.17888735905969333</v>
      </c>
      <c r="AB179" s="69">
        <f t="shared" ca="1" si="258"/>
        <v>0.15371176604247738</v>
      </c>
    </row>
    <row r="180" spans="2:28">
      <c r="B180" s="66" t="s">
        <v>743</v>
      </c>
      <c r="C180" s="69"/>
      <c r="D180" s="69"/>
      <c r="E180" s="69" t="e">
        <f t="shared" ref="E180:T180" si="259">E177/E136</f>
        <v>#DIV/0!</v>
      </c>
      <c r="F180" s="69">
        <f t="shared" si="259"/>
        <v>0.22988505747126436</v>
      </c>
      <c r="G180" s="69">
        <f t="shared" si="259"/>
        <v>0.2613861386138614</v>
      </c>
      <c r="H180" s="69">
        <f t="shared" si="259"/>
        <v>0.20232558139534887</v>
      </c>
      <c r="I180" s="69">
        <f t="shared" si="259"/>
        <v>0.21566265060240961</v>
      </c>
      <c r="J180" s="69">
        <f t="shared" si="259"/>
        <v>0.20780487804878048</v>
      </c>
      <c r="K180" s="69">
        <f t="shared" si="259"/>
        <v>7.6923076923076927E-2</v>
      </c>
      <c r="L180" s="69">
        <f t="shared" si="259"/>
        <v>8.5328185328185341E-2</v>
      </c>
      <c r="M180" s="69">
        <f t="shared" si="259"/>
        <v>0.11901550910316926</v>
      </c>
      <c r="N180" s="69">
        <f t="shared" si="259"/>
        <v>-5.0379572118702552E-2</v>
      </c>
      <c r="O180" s="69">
        <f t="shared" si="259"/>
        <v>-0.1287871847598647</v>
      </c>
      <c r="P180" s="69">
        <f t="shared" si="259"/>
        <v>-0.81663554591558374</v>
      </c>
      <c r="Q180" s="69">
        <f t="shared" ca="1" si="259"/>
        <v>-0.89556172050539418</v>
      </c>
      <c r="R180" s="69">
        <f t="shared" ca="1" si="259"/>
        <v>-0.43975733990641613</v>
      </c>
      <c r="S180" s="69">
        <f t="shared" ca="1" si="259"/>
        <v>-0.21403251799349129</v>
      </c>
      <c r="T180" s="69">
        <f t="shared" ca="1" si="259"/>
        <v>-0.17250691641858742</v>
      </c>
      <c r="U180" s="69">
        <f t="shared" ref="U180:AA180" ca="1" si="260">U177/U136</f>
        <v>5.5307264046494567E-4</v>
      </c>
      <c r="V180" s="69">
        <f t="shared" ca="1" si="260"/>
        <v>9.6139838432110838E-2</v>
      </c>
      <c r="W180" s="69">
        <f t="shared" ca="1" si="260"/>
        <v>0.1853075364292838</v>
      </c>
      <c r="X180" s="69">
        <f t="shared" ca="1" si="260"/>
        <v>0.24870782305137551</v>
      </c>
      <c r="Y180" s="69">
        <f t="shared" ca="1" si="260"/>
        <v>0.31426890553435494</v>
      </c>
      <c r="Z180" s="69">
        <f t="shared" ca="1" si="260"/>
        <v>0.36573893156471943</v>
      </c>
      <c r="AA180" s="69">
        <f t="shared" ca="1" si="260"/>
        <v>0.41323090321810663</v>
      </c>
      <c r="AB180" s="69">
        <f t="shared" ref="AB180" ca="1" si="261">AB177/AB136</f>
        <v>0.4572777309443109</v>
      </c>
    </row>
    <row r="181" spans="2:28">
      <c r="J181" s="69"/>
    </row>
    <row r="182" spans="2:28">
      <c r="B182" s="279" t="s">
        <v>742</v>
      </c>
      <c r="C182" s="279">
        <f t="shared" ref="C182:T182" si="262">C152</f>
        <v>2001</v>
      </c>
      <c r="D182" s="279">
        <f t="shared" si="262"/>
        <v>2002</v>
      </c>
      <c r="E182" s="279">
        <f t="shared" si="262"/>
        <v>2003</v>
      </c>
      <c r="F182" s="279">
        <f t="shared" si="262"/>
        <v>2004</v>
      </c>
      <c r="G182" s="279">
        <f t="shared" si="262"/>
        <v>2005</v>
      </c>
      <c r="H182" s="279">
        <f t="shared" si="262"/>
        <v>2006</v>
      </c>
      <c r="I182" s="279">
        <f t="shared" si="262"/>
        <v>2007</v>
      </c>
      <c r="J182" s="279">
        <f t="shared" si="262"/>
        <v>2008</v>
      </c>
      <c r="K182" s="279">
        <f t="shared" si="262"/>
        <v>2009</v>
      </c>
      <c r="L182" s="279">
        <f t="shared" si="262"/>
        <v>2010</v>
      </c>
      <c r="M182" s="279">
        <f t="shared" si="262"/>
        <v>2011</v>
      </c>
      <c r="N182" s="279">
        <f t="shared" si="262"/>
        <v>2012</v>
      </c>
      <c r="O182" s="279">
        <f t="shared" si="262"/>
        <v>2013</v>
      </c>
      <c r="P182" s="279">
        <f t="shared" si="262"/>
        <v>2014</v>
      </c>
      <c r="Q182" s="279">
        <f t="shared" si="262"/>
        <v>2015</v>
      </c>
      <c r="R182" s="279">
        <f t="shared" si="262"/>
        <v>2016</v>
      </c>
      <c r="S182" s="279">
        <f t="shared" si="262"/>
        <v>2017</v>
      </c>
      <c r="T182" s="279">
        <f t="shared" si="262"/>
        <v>2018</v>
      </c>
      <c r="U182" s="279">
        <f t="shared" ref="U182:AA182" si="263">U152</f>
        <v>2019</v>
      </c>
      <c r="V182" s="279">
        <f t="shared" si="263"/>
        <v>2020</v>
      </c>
      <c r="W182" s="279">
        <f t="shared" si="263"/>
        <v>2021</v>
      </c>
      <c r="X182" s="279">
        <f t="shared" si="263"/>
        <v>2022</v>
      </c>
      <c r="Y182" s="279">
        <f t="shared" si="263"/>
        <v>2023</v>
      </c>
      <c r="Z182" s="279">
        <f t="shared" si="263"/>
        <v>2024</v>
      </c>
      <c r="AA182" s="279">
        <f t="shared" si="263"/>
        <v>2025</v>
      </c>
      <c r="AB182" s="279">
        <f t="shared" ref="AB182" si="264">AB152</f>
        <v>2026</v>
      </c>
    </row>
    <row r="184" spans="2:28">
      <c r="B184" s="70" t="s">
        <v>610</v>
      </c>
      <c r="C184" s="71"/>
      <c r="D184" s="71"/>
      <c r="E184" s="71"/>
      <c r="F184" s="71">
        <f t="shared" ref="F184:N184" si="265">F11</f>
        <v>68.2</v>
      </c>
      <c r="G184" s="71">
        <f t="shared" si="265"/>
        <v>82.5</v>
      </c>
      <c r="H184" s="71">
        <f t="shared" si="265"/>
        <v>122.95200000000001</v>
      </c>
      <c r="I184" s="71">
        <f t="shared" si="265"/>
        <v>136.34400000000002</v>
      </c>
      <c r="J184" s="71">
        <f t="shared" si="265"/>
        <v>185.12799999999999</v>
      </c>
      <c r="K184" s="71">
        <f t="shared" si="265"/>
        <v>446.98499999999996</v>
      </c>
      <c r="L184" s="71">
        <f t="shared" si="265"/>
        <v>265.53340386108681</v>
      </c>
      <c r="M184" s="71">
        <f t="shared" si="265"/>
        <v>290.125</v>
      </c>
      <c r="N184" s="71">
        <f t="shared" si="265"/>
        <v>205.12800000000001</v>
      </c>
      <c r="O184" s="284">
        <f t="shared" ref="O184:AB184" si="266">N184*(1+O185)</f>
        <v>451.28160000000008</v>
      </c>
      <c r="P184" s="284">
        <f>P186*P131</f>
        <v>795.19999999999993</v>
      </c>
      <c r="Q184" s="284">
        <f>Q186*Q131</f>
        <v>765.6</v>
      </c>
      <c r="R184" s="284">
        <f>R186*R131</f>
        <v>522.35</v>
      </c>
      <c r="S184" s="284">
        <f>S186*S131</f>
        <v>521.59999999999991</v>
      </c>
      <c r="T184" s="284">
        <f t="shared" si="266"/>
        <v>532.03199999999993</v>
      </c>
      <c r="U184" s="284">
        <f t="shared" si="266"/>
        <v>532.03199999999993</v>
      </c>
      <c r="V184" s="284">
        <f t="shared" si="266"/>
        <v>532.03199999999993</v>
      </c>
      <c r="W184" s="284">
        <f t="shared" si="266"/>
        <v>505.43039999999991</v>
      </c>
      <c r="X184" s="284">
        <f t="shared" si="266"/>
        <v>495.3217919999999</v>
      </c>
      <c r="Y184" s="284">
        <f t="shared" si="266"/>
        <v>485.41535615999987</v>
      </c>
      <c r="Z184" s="284">
        <f t="shared" si="266"/>
        <v>475.70704903679984</v>
      </c>
      <c r="AA184" s="284">
        <f t="shared" si="266"/>
        <v>466.19290805606386</v>
      </c>
      <c r="AB184" s="284">
        <f t="shared" si="266"/>
        <v>456.86904989494258</v>
      </c>
    </row>
    <row r="185" spans="2:28">
      <c r="B185" s="66" t="s">
        <v>63</v>
      </c>
      <c r="C185" s="69"/>
      <c r="D185" s="69"/>
      <c r="E185" s="69"/>
      <c r="F185" s="69"/>
      <c r="G185" s="69">
        <f t="shared" ref="G185:S185" si="267">G184/F184-1</f>
        <v>0.20967741935483875</v>
      </c>
      <c r="H185" s="69">
        <f t="shared" si="267"/>
        <v>0.49032727272727294</v>
      </c>
      <c r="I185" s="69">
        <f t="shared" si="267"/>
        <v>0.10892055436267811</v>
      </c>
      <c r="J185" s="69">
        <f t="shared" si="267"/>
        <v>0.35780085665669148</v>
      </c>
      <c r="K185" s="69">
        <f t="shared" si="267"/>
        <v>1.4144645866643617</v>
      </c>
      <c r="L185" s="69">
        <f t="shared" si="267"/>
        <v>-0.40594560474940578</v>
      </c>
      <c r="M185" s="69">
        <f t="shared" si="267"/>
        <v>9.2612062291711705E-2</v>
      </c>
      <c r="N185" s="69">
        <f t="shared" si="267"/>
        <v>-0.29296682464454971</v>
      </c>
      <c r="O185" s="280">
        <v>1.2</v>
      </c>
      <c r="P185" s="69">
        <f t="shared" si="267"/>
        <v>0.76209267118357982</v>
      </c>
      <c r="Q185" s="69">
        <f t="shared" si="267"/>
        <v>-3.7223340040241304E-2</v>
      </c>
      <c r="R185" s="69">
        <f t="shared" si="267"/>
        <v>-0.31772466039707414</v>
      </c>
      <c r="S185" s="69">
        <f t="shared" si="267"/>
        <v>-1.4358188953769169E-3</v>
      </c>
      <c r="T185" s="280">
        <v>0.02</v>
      </c>
      <c r="U185" s="280">
        <v>0</v>
      </c>
      <c r="V185" s="280">
        <v>0</v>
      </c>
      <c r="W185" s="280">
        <v>-0.05</v>
      </c>
      <c r="X185" s="280">
        <v>-0.02</v>
      </c>
      <c r="Y185" s="280">
        <v>-0.02</v>
      </c>
      <c r="Z185" s="280">
        <v>-0.02</v>
      </c>
      <c r="AA185" s="280">
        <v>-0.02</v>
      </c>
      <c r="AB185" s="280">
        <v>-0.02</v>
      </c>
    </row>
    <row r="186" spans="2:28">
      <c r="B186" s="66" t="s">
        <v>600</v>
      </c>
      <c r="C186" s="69"/>
      <c r="D186" s="69"/>
      <c r="E186" s="69"/>
      <c r="F186" s="277">
        <f>F184/F131</f>
        <v>20</v>
      </c>
      <c r="G186" s="277">
        <f t="shared" ref="G186:T186" si="268">G184/G131</f>
        <v>25</v>
      </c>
      <c r="H186" s="277">
        <f>H184/H131</f>
        <v>37.6</v>
      </c>
      <c r="I186" s="277">
        <f t="shared" si="268"/>
        <v>43.7</v>
      </c>
      <c r="J186" s="277">
        <f t="shared" si="268"/>
        <v>63.4</v>
      </c>
      <c r="K186" s="277">
        <f t="shared" si="268"/>
        <v>148.5</v>
      </c>
      <c r="L186" s="277">
        <f t="shared" si="268"/>
        <v>94</v>
      </c>
      <c r="M186" s="277">
        <f t="shared" si="268"/>
        <v>105.5</v>
      </c>
      <c r="N186" s="277">
        <f t="shared" si="268"/>
        <v>77.7</v>
      </c>
      <c r="O186" s="277">
        <f t="shared" si="268"/>
        <v>167.14133333333336</v>
      </c>
      <c r="P186" s="371">
        <v>280</v>
      </c>
      <c r="Q186" s="371">
        <v>240</v>
      </c>
      <c r="R186" s="371">
        <v>155</v>
      </c>
      <c r="S186" s="371">
        <v>160</v>
      </c>
      <c r="T186" s="277">
        <f t="shared" si="268"/>
        <v>161.71185410334343</v>
      </c>
      <c r="U186" s="277">
        <f t="shared" ref="U186:AA186" si="269">U184/U131</f>
        <v>159.29101796407184</v>
      </c>
      <c r="V186" s="277">
        <f t="shared" si="269"/>
        <v>158.34285714285713</v>
      </c>
      <c r="W186" s="277">
        <f t="shared" si="269"/>
        <v>146.75679442508709</v>
      </c>
      <c r="X186" s="277">
        <f t="shared" si="269"/>
        <v>140.31381320642475</v>
      </c>
      <c r="Y186" s="277">
        <f t="shared" si="269"/>
        <v>134.15369457785002</v>
      </c>
      <c r="Z186" s="277">
        <f t="shared" si="269"/>
        <v>128.26402018174929</v>
      </c>
      <c r="AA186" s="277">
        <f t="shared" si="269"/>
        <v>122.63291685669688</v>
      </c>
      <c r="AB186" s="277">
        <f t="shared" ref="AB186" si="270">AB184/AB131</f>
        <v>117.24903270201264</v>
      </c>
    </row>
    <row r="188" spans="2:28">
      <c r="B188" s="66" t="s">
        <v>741</v>
      </c>
      <c r="C188" s="68"/>
      <c r="D188" s="68"/>
      <c r="E188" s="68"/>
      <c r="F188" s="68">
        <f t="shared" ref="F188:T188" si="271">F184/F4</f>
        <v>0.20833333333333334</v>
      </c>
      <c r="G188" s="68">
        <f t="shared" si="271"/>
        <v>0.2192982456140351</v>
      </c>
      <c r="H188" s="68">
        <f t="shared" si="271"/>
        <v>0.25753424657534246</v>
      </c>
      <c r="I188" s="68">
        <f t="shared" si="271"/>
        <v>0.22879581151832462</v>
      </c>
      <c r="J188" s="68">
        <f t="shared" si="271"/>
        <v>0.26090534979423868</v>
      </c>
      <c r="K188" s="68">
        <f t="shared" si="271"/>
        <v>0.55410447761194026</v>
      </c>
      <c r="L188" s="68">
        <f t="shared" si="271"/>
        <v>0.30128205128205127</v>
      </c>
      <c r="M188" s="68">
        <f t="shared" si="271"/>
        <v>0.29793843547020615</v>
      </c>
      <c r="N188" s="68">
        <f t="shared" si="271"/>
        <v>0.22633265365569472</v>
      </c>
      <c r="O188" s="68">
        <f t="shared" si="271"/>
        <v>0.56233023935375492</v>
      </c>
      <c r="P188" s="68">
        <f t="shared" si="271"/>
        <v>1.0497495124849805</v>
      </c>
      <c r="Q188" s="68">
        <f t="shared" si="271"/>
        <v>0.66400525544494415</v>
      </c>
      <c r="R188" s="68">
        <f t="shared" si="271"/>
        <v>0.3008377979523047</v>
      </c>
      <c r="S188" s="68">
        <f t="shared" si="271"/>
        <v>0.22564887088642799</v>
      </c>
      <c r="T188" s="68">
        <f t="shared" si="271"/>
        <v>0.21951974646590666</v>
      </c>
      <c r="U188" s="68">
        <f t="shared" ref="U188:AA188" ca="1" si="272">U184/U4</f>
        <v>0.19658522437954701</v>
      </c>
      <c r="V188" s="68">
        <f t="shared" ca="1" si="272"/>
        <v>0.1797159629746018</v>
      </c>
      <c r="W188" s="68">
        <f t="shared" ca="1" si="272"/>
        <v>0.16269874421509781</v>
      </c>
      <c r="X188" s="68">
        <f t="shared" ca="1" si="272"/>
        <v>0.15436131683764578</v>
      </c>
      <c r="Y188" s="68">
        <f t="shared" ca="1" si="272"/>
        <v>0.14561180632317619</v>
      </c>
      <c r="Z188" s="68">
        <f t="shared" ca="1" si="272"/>
        <v>0.13748702479454622</v>
      </c>
      <c r="AA188" s="68">
        <f t="shared" ca="1" si="272"/>
        <v>0.12990348949646963</v>
      </c>
      <c r="AB188" s="68">
        <f t="shared" ref="AB188" ca="1" si="273">AB184/AB4</f>
        <v>0.1227977530604164</v>
      </c>
    </row>
    <row r="189" spans="2:28">
      <c r="B189" s="66" t="s">
        <v>740</v>
      </c>
      <c r="C189" s="68"/>
      <c r="D189" s="67"/>
      <c r="E189" s="67"/>
      <c r="F189" s="67">
        <f t="shared" ref="F189:AB189" si="274">E189+F184</f>
        <v>68.2</v>
      </c>
      <c r="G189" s="67">
        <f t="shared" si="274"/>
        <v>150.69999999999999</v>
      </c>
      <c r="H189" s="67">
        <f t="shared" si="274"/>
        <v>273.65199999999999</v>
      </c>
      <c r="I189" s="67">
        <f t="shared" si="274"/>
        <v>409.99599999999998</v>
      </c>
      <c r="J189" s="67">
        <f t="shared" si="274"/>
        <v>595.12400000000002</v>
      </c>
      <c r="K189" s="67">
        <f t="shared" si="274"/>
        <v>1042.1089999999999</v>
      </c>
      <c r="L189" s="67">
        <f t="shared" si="274"/>
        <v>1307.6424038610867</v>
      </c>
      <c r="M189" s="67">
        <f t="shared" si="274"/>
        <v>1597.7674038610867</v>
      </c>
      <c r="N189" s="67">
        <f t="shared" si="274"/>
        <v>1802.8954038610866</v>
      </c>
      <c r="O189" s="67">
        <f t="shared" si="274"/>
        <v>2254.1770038610866</v>
      </c>
      <c r="P189" s="67">
        <f t="shared" si="274"/>
        <v>3049.3770038610865</v>
      </c>
      <c r="Q189" s="67">
        <f t="shared" si="274"/>
        <v>3814.9770038610864</v>
      </c>
      <c r="R189" s="67">
        <f t="shared" si="274"/>
        <v>4337.3270038610863</v>
      </c>
      <c r="S189" s="67">
        <f t="shared" si="274"/>
        <v>4858.9270038610866</v>
      </c>
      <c r="T189" s="67">
        <f t="shared" si="274"/>
        <v>5390.9590038610868</v>
      </c>
      <c r="U189" s="67">
        <f t="shared" si="274"/>
        <v>5922.9910038610869</v>
      </c>
      <c r="V189" s="67">
        <f t="shared" si="274"/>
        <v>6455.0230038610871</v>
      </c>
      <c r="W189" s="67">
        <f t="shared" si="274"/>
        <v>6960.4534038610873</v>
      </c>
      <c r="X189" s="67">
        <f t="shared" si="274"/>
        <v>7455.775195861087</v>
      </c>
      <c r="Y189" s="67">
        <f t="shared" si="274"/>
        <v>7941.1905520210867</v>
      </c>
      <c r="Z189" s="67">
        <f t="shared" si="274"/>
        <v>8416.8976010578863</v>
      </c>
      <c r="AA189" s="67">
        <f t="shared" si="274"/>
        <v>8883.0905091139502</v>
      </c>
      <c r="AB189" s="67">
        <f t="shared" si="274"/>
        <v>9339.959559008892</v>
      </c>
    </row>
    <row r="190" spans="2:28">
      <c r="B190" s="66" t="s">
        <v>739</v>
      </c>
      <c r="C190" s="277"/>
      <c r="D190" s="277"/>
      <c r="E190" s="277"/>
      <c r="F190" s="277">
        <f t="shared" ref="F190:T190" si="275">F189/F125*1000</f>
        <v>368.64864864864865</v>
      </c>
      <c r="G190" s="277">
        <f t="shared" si="275"/>
        <v>605.22088353413653</v>
      </c>
      <c r="H190" s="277">
        <f t="shared" si="275"/>
        <v>793.19420289855066</v>
      </c>
      <c r="I190" s="277">
        <f t="shared" si="275"/>
        <v>861.33613445378148</v>
      </c>
      <c r="J190" s="277">
        <f t="shared" si="275"/>
        <v>889.57249626307919</v>
      </c>
      <c r="K190" s="277">
        <f t="shared" si="275"/>
        <v>1239.7204377825362</v>
      </c>
      <c r="L190" s="277">
        <f t="shared" si="275"/>
        <v>1159.0519445675293</v>
      </c>
      <c r="M190" s="277">
        <f t="shared" si="275"/>
        <v>1113.5819653339049</v>
      </c>
      <c r="N190" s="277">
        <f t="shared" si="275"/>
        <v>1086.4088001573284</v>
      </c>
      <c r="O190" s="277">
        <f t="shared" si="275"/>
        <v>1448.6998739467138</v>
      </c>
      <c r="P190" s="277">
        <f t="shared" si="275"/>
        <v>1754.5322231651821</v>
      </c>
      <c r="Q190" s="277">
        <f t="shared" si="275"/>
        <v>1219.2320242445146</v>
      </c>
      <c r="R190" s="277">
        <f t="shared" si="275"/>
        <v>899.86037424503866</v>
      </c>
      <c r="S190" s="277">
        <f t="shared" si="275"/>
        <v>742.61455049076676</v>
      </c>
      <c r="T190" s="277">
        <f t="shared" si="275"/>
        <v>689.82200945119473</v>
      </c>
      <c r="U190" s="277">
        <f t="shared" ref="U190:AA190" si="276">U189/U125*1000</f>
        <v>738.47866940683275</v>
      </c>
      <c r="V190" s="277">
        <f t="shared" si="276"/>
        <v>787.56688868754031</v>
      </c>
      <c r="W190" s="277">
        <f t="shared" si="276"/>
        <v>833.6298436268246</v>
      </c>
      <c r="X190" s="277">
        <f t="shared" si="276"/>
        <v>878.54066651256937</v>
      </c>
      <c r="Y190" s="277">
        <f t="shared" si="276"/>
        <v>922.17134292931428</v>
      </c>
      <c r="Z190" s="277">
        <f t="shared" si="276"/>
        <v>964.42205965167557</v>
      </c>
      <c r="AA190" s="277">
        <f t="shared" si="276"/>
        <v>1005.2187598052197</v>
      </c>
      <c r="AB190" s="277">
        <f t="shared" ref="AB190" si="277">AB189/AB125*1000</f>
        <v>1044.5101235806951</v>
      </c>
    </row>
    <row r="192" spans="2:28">
      <c r="B192" s="66" t="s">
        <v>454</v>
      </c>
      <c r="D192" s="67"/>
      <c r="E192" s="67"/>
      <c r="F192" s="278">
        <f>43*F$131</f>
        <v>146.63</v>
      </c>
      <c r="G192" s="278">
        <f>59*G$131</f>
        <v>194.7</v>
      </c>
      <c r="H192" s="278">
        <f>84*H$131</f>
        <v>274.68</v>
      </c>
      <c r="I192" s="278">
        <f>108*I$131</f>
        <v>336.96000000000004</v>
      </c>
      <c r="J192" s="278">
        <f>150*J$131</f>
        <v>438</v>
      </c>
      <c r="K192" s="278">
        <f>268*K$131</f>
        <v>806.68</v>
      </c>
      <c r="L192" s="67">
        <f t="shared" ref="L192:AB192" si="278">K192+L184-L200</f>
        <v>923.3452082921583</v>
      </c>
      <c r="M192" s="67">
        <f t="shared" si="278"/>
        <v>1034.9952082921582</v>
      </c>
      <c r="N192" s="67">
        <f t="shared" si="278"/>
        <v>1031.0352082921581</v>
      </c>
      <c r="O192" s="67">
        <f t="shared" si="278"/>
        <v>1317.3511749654128</v>
      </c>
      <c r="P192" s="67">
        <f t="shared" si="278"/>
        <v>1901.7749869709469</v>
      </c>
      <c r="Q192" s="67">
        <f t="shared" si="278"/>
        <v>2363.0909890555954</v>
      </c>
      <c r="R192" s="67">
        <f t="shared" si="278"/>
        <v>2507.3464308067</v>
      </c>
      <c r="S192" s="67">
        <f t="shared" si="278"/>
        <v>2627.7710018776279</v>
      </c>
      <c r="T192" s="67">
        <f t="shared" si="278"/>
        <v>2739.3596415772076</v>
      </c>
      <c r="U192" s="67">
        <f t="shared" si="278"/>
        <v>2833.0940989248543</v>
      </c>
      <c r="V192" s="67">
        <f t="shared" si="278"/>
        <v>2911.8310430968772</v>
      </c>
      <c r="W192" s="67">
        <f t="shared" si="278"/>
        <v>2951.3684762013768</v>
      </c>
      <c r="X192" s="67">
        <f t="shared" si="278"/>
        <v>2974.4713120091565</v>
      </c>
      <c r="Y192" s="67">
        <f t="shared" si="278"/>
        <v>2983.9712582476909</v>
      </c>
      <c r="Z192" s="67">
        <f t="shared" si="278"/>
        <v>2982.2429059648603</v>
      </c>
      <c r="AA192" s="67">
        <f t="shared" si="278"/>
        <v>2971.2769490665464</v>
      </c>
      <c r="AB192" s="67">
        <f t="shared" si="278"/>
        <v>2952.7416871108417</v>
      </c>
    </row>
    <row r="193" spans="2:28">
      <c r="B193" s="66" t="s">
        <v>738</v>
      </c>
      <c r="D193" s="277"/>
      <c r="E193" s="277"/>
      <c r="F193" s="277">
        <f t="shared" ref="F193:T193" si="279">F192/F125*1000</f>
        <v>792.59459459459458</v>
      </c>
      <c r="G193" s="277">
        <f t="shared" si="279"/>
        <v>781.92771084337346</v>
      </c>
      <c r="H193" s="277">
        <f t="shared" si="279"/>
        <v>796.17391304347825</v>
      </c>
      <c r="I193" s="277">
        <f t="shared" si="279"/>
        <v>707.89915966386559</v>
      </c>
      <c r="J193" s="277">
        <f t="shared" si="279"/>
        <v>654.70852017937216</v>
      </c>
      <c r="K193" s="277">
        <f t="shared" si="279"/>
        <v>959.64787056864134</v>
      </c>
      <c r="L193" s="277">
        <f t="shared" si="279"/>
        <v>818.42333654685183</v>
      </c>
      <c r="M193" s="277">
        <f t="shared" si="279"/>
        <v>721.35155303328554</v>
      </c>
      <c r="N193" s="277">
        <f t="shared" si="279"/>
        <v>621.2926835144068</v>
      </c>
      <c r="O193" s="277">
        <f t="shared" si="279"/>
        <v>846.62671912944268</v>
      </c>
      <c r="P193" s="277">
        <f t="shared" si="279"/>
        <v>1094.2318682226392</v>
      </c>
      <c r="Q193" s="277">
        <f t="shared" si="279"/>
        <v>755.22243178510564</v>
      </c>
      <c r="R193" s="277">
        <f t="shared" si="279"/>
        <v>520.19635493914939</v>
      </c>
      <c r="S193" s="277">
        <f t="shared" si="279"/>
        <v>401.61562003326117</v>
      </c>
      <c r="T193" s="277">
        <f t="shared" si="279"/>
        <v>350.52586584481219</v>
      </c>
      <c r="U193" s="277">
        <f t="shared" ref="U193:AA193" si="280">U192/U125*1000</f>
        <v>353.23024450223267</v>
      </c>
      <c r="V193" s="277">
        <f t="shared" si="280"/>
        <v>355.26778349571845</v>
      </c>
      <c r="W193" s="277">
        <f t="shared" si="280"/>
        <v>353.47536985681052</v>
      </c>
      <c r="X193" s="277">
        <f t="shared" si="280"/>
        <v>350.49259672229647</v>
      </c>
      <c r="Y193" s="277">
        <f t="shared" si="280"/>
        <v>346.51388409013987</v>
      </c>
      <c r="Z193" s="277">
        <f t="shared" si="280"/>
        <v>341.71032868342587</v>
      </c>
      <c r="AA193" s="277">
        <f t="shared" si="280"/>
        <v>336.23245499008544</v>
      </c>
      <c r="AB193" s="277">
        <f t="shared" ref="AB193" si="281">AB192/AB125*1000</f>
        <v>330.21219899514119</v>
      </c>
    </row>
    <row r="194" spans="2:28">
      <c r="B194" s="66" t="s">
        <v>737</v>
      </c>
      <c r="D194" s="283"/>
      <c r="E194" s="283"/>
      <c r="F194" s="283">
        <f t="shared" ref="F194:T194" si="282">F15/F192</f>
        <v>0</v>
      </c>
      <c r="G194" s="283">
        <f t="shared" si="282"/>
        <v>2.3728813559321986E-2</v>
      </c>
      <c r="H194" s="283">
        <f t="shared" si="282"/>
        <v>-0.13690476190476192</v>
      </c>
      <c r="I194" s="283">
        <f t="shared" si="282"/>
        <v>-7.3148148148148212E-2</v>
      </c>
      <c r="J194" s="283">
        <f t="shared" si="282"/>
        <v>-0.13866666666666663</v>
      </c>
      <c r="K194" s="283">
        <f t="shared" si="282"/>
        <v>-0.49067164179104472</v>
      </c>
      <c r="L194" s="283">
        <f t="shared" si="282"/>
        <v>-0.21996627468825627</v>
      </c>
      <c r="M194" s="283">
        <f t="shared" si="282"/>
        <v>-0.18652260266842305</v>
      </c>
      <c r="N194" s="283">
        <f t="shared" si="282"/>
        <v>-0.23633722499508686</v>
      </c>
      <c r="O194" s="283">
        <f t="shared" si="282"/>
        <v>-0.40785623879801797</v>
      </c>
      <c r="P194" s="283">
        <f t="shared" si="282"/>
        <v>-0.70456439451904762</v>
      </c>
      <c r="Q194" s="283">
        <f t="shared" si="282"/>
        <v>-0.67134513315427513</v>
      </c>
      <c r="R194" s="283">
        <f t="shared" si="282"/>
        <v>-0.44987713368386478</v>
      </c>
      <c r="S194" s="283">
        <f t="shared" si="282"/>
        <v>-0.34376911141259175</v>
      </c>
      <c r="T194" s="283">
        <f t="shared" si="282"/>
        <v>-0.29368827012772802</v>
      </c>
      <c r="U194" s="283">
        <f t="shared" ref="U194:AA194" ca="1" si="283">U15/U192</f>
        <v>-0.18745431440550253</v>
      </c>
      <c r="V194" s="283">
        <f t="shared" ca="1" si="283"/>
        <v>-0.1184057474484637</v>
      </c>
      <c r="W194" s="283">
        <f t="shared" ca="1" si="283"/>
        <v>-4.1488494622622725E-2</v>
      </c>
      <c r="X194" s="283">
        <f t="shared" ca="1" si="283"/>
        <v>1.283410002872273E-2</v>
      </c>
      <c r="Y194" s="283">
        <f t="shared" ca="1" si="283"/>
        <v>7.3639023875537821E-2</v>
      </c>
      <c r="Z194" s="283">
        <f t="shared" ca="1" si="283"/>
        <v>0.12791007921590056</v>
      </c>
      <c r="AA194" s="283">
        <f t="shared" ca="1" si="283"/>
        <v>0.18319033676961047</v>
      </c>
      <c r="AB194" s="283">
        <f t="shared" ref="AB194" ca="1" si="284">AB15/AB192</f>
        <v>0.2401019884817237</v>
      </c>
    </row>
    <row r="195" spans="2:28">
      <c r="B195" s="66" t="s">
        <v>736</v>
      </c>
      <c r="D195" s="283"/>
      <c r="E195" s="283"/>
      <c r="F195" s="283">
        <f t="shared" ref="F195:T195" si="285">F20/F192</f>
        <v>0</v>
      </c>
      <c r="G195" s="283">
        <f t="shared" si="285"/>
        <v>1.6610169491525387E-2</v>
      </c>
      <c r="H195" s="283">
        <f t="shared" si="285"/>
        <v>-9.583333333333334E-2</v>
      </c>
      <c r="I195" s="283">
        <f t="shared" si="285"/>
        <v>-5.1203703703703744E-2</v>
      </c>
      <c r="J195" s="283">
        <f t="shared" si="285"/>
        <v>-9.7066666666666648E-2</v>
      </c>
      <c r="K195" s="283">
        <f t="shared" si="285"/>
        <v>-0.34347014925373126</v>
      </c>
      <c r="L195" s="283">
        <f t="shared" si="285"/>
        <v>-0.15397639228177937</v>
      </c>
      <c r="M195" s="283">
        <f t="shared" si="285"/>
        <v>-0.13056582186789614</v>
      </c>
      <c r="N195" s="283">
        <f t="shared" si="285"/>
        <v>-0.16543605749656079</v>
      </c>
      <c r="O195" s="283">
        <f t="shared" si="285"/>
        <v>-0.28549936715861257</v>
      </c>
      <c r="P195" s="283">
        <f t="shared" si="285"/>
        <v>-0.49319507616333325</v>
      </c>
      <c r="Q195" s="283">
        <f t="shared" si="285"/>
        <v>-0.4699415932079925</v>
      </c>
      <c r="R195" s="283">
        <f t="shared" si="285"/>
        <v>-0.31491399357870531</v>
      </c>
      <c r="S195" s="283">
        <f t="shared" si="285"/>
        <v>-0.24063837798881418</v>
      </c>
      <c r="T195" s="283">
        <f t="shared" si="285"/>
        <v>-0.20558178908940961</v>
      </c>
      <c r="U195" s="283">
        <f t="shared" ref="U195:AA195" ca="1" si="286">U20/U192</f>
        <v>-0.13121802008385178</v>
      </c>
      <c r="V195" s="283">
        <f t="shared" ca="1" si="286"/>
        <v>-8.2884023213924587E-2</v>
      </c>
      <c r="W195" s="283">
        <f t="shared" ca="1" si="286"/>
        <v>-2.9041946235835905E-2</v>
      </c>
      <c r="X195" s="283">
        <f t="shared" ca="1" si="286"/>
        <v>8.9838700201059097E-3</v>
      </c>
      <c r="Y195" s="283">
        <f t="shared" ca="1" si="286"/>
        <v>5.1547316712876469E-2</v>
      </c>
      <c r="Z195" s="283">
        <f t="shared" ca="1" si="286"/>
        <v>8.9537055451130387E-2</v>
      </c>
      <c r="AA195" s="283">
        <f t="shared" ca="1" si="286"/>
        <v>0.12823323573872733</v>
      </c>
      <c r="AB195" s="283">
        <f t="shared" ref="AB195" ca="1" si="287">AB20/AB192</f>
        <v>0.16807139193720658</v>
      </c>
    </row>
    <row r="196" spans="2:28">
      <c r="D196" s="283"/>
      <c r="E196" s="282"/>
      <c r="F196" s="282"/>
      <c r="G196" s="282"/>
      <c r="H196" s="282"/>
      <c r="I196" s="282"/>
      <c r="J196" s="282"/>
      <c r="K196" s="282"/>
      <c r="L196" s="282"/>
      <c r="M196" s="282"/>
      <c r="N196" s="282"/>
      <c r="O196" s="282"/>
      <c r="P196" s="282"/>
      <c r="Q196" s="282"/>
      <c r="R196" s="282"/>
      <c r="S196" s="282"/>
      <c r="T196" s="282"/>
      <c r="U196" s="282"/>
      <c r="V196" s="282"/>
      <c r="W196" s="282"/>
      <c r="X196" s="282"/>
      <c r="Y196" s="282"/>
      <c r="Z196" s="282"/>
      <c r="AA196" s="282"/>
      <c r="AB196" s="282"/>
    </row>
    <row r="197" spans="2:28">
      <c r="B197" s="66" t="s">
        <v>797</v>
      </c>
      <c r="D197" s="283"/>
      <c r="E197" s="283"/>
      <c r="F197" s="283"/>
      <c r="G197" s="283"/>
      <c r="H197" s="283"/>
      <c r="I197" s="283"/>
      <c r="J197" s="277">
        <f>J198-J192</f>
        <v>236.51999999999998</v>
      </c>
      <c r="K197" s="277">
        <f>K198-K192</f>
        <v>532.76999999999987</v>
      </c>
      <c r="L197" s="277">
        <f>L198-L192</f>
        <v>650.08145075704761</v>
      </c>
      <c r="M197" s="277">
        <f>M198-M192</f>
        <v>609.50479170784183</v>
      </c>
      <c r="N197" s="277">
        <f>N198-N192</f>
        <v>283.6847917078419</v>
      </c>
      <c r="O197" s="282"/>
      <c r="P197" s="282"/>
      <c r="Q197" s="282"/>
      <c r="R197" s="282"/>
      <c r="S197" s="282"/>
      <c r="T197" s="282"/>
      <c r="U197" s="282"/>
      <c r="V197" s="282"/>
      <c r="W197" s="282"/>
      <c r="X197" s="282"/>
      <c r="Y197" s="282"/>
      <c r="Z197" s="282"/>
      <c r="AA197" s="282"/>
      <c r="AB197" s="282"/>
    </row>
    <row r="198" spans="2:28">
      <c r="B198" s="66" t="s">
        <v>798</v>
      </c>
      <c r="D198" s="283"/>
      <c r="E198" s="282"/>
      <c r="F198" s="282"/>
      <c r="G198" s="282"/>
      <c r="H198" s="282"/>
      <c r="I198" s="282"/>
      <c r="J198" s="278">
        <f>231*J$131</f>
        <v>674.52</v>
      </c>
      <c r="K198" s="278">
        <f>445*K$131</f>
        <v>1339.4499999999998</v>
      </c>
      <c r="L198" s="278">
        <f>557*L$131</f>
        <v>1573.4266590492059</v>
      </c>
      <c r="M198" s="278">
        <f>598*M$131</f>
        <v>1644.5</v>
      </c>
      <c r="N198" s="278">
        <f>498*N$131</f>
        <v>1314.72</v>
      </c>
      <c r="O198" s="282"/>
      <c r="P198" s="282"/>
      <c r="Q198" s="282"/>
      <c r="R198" s="282"/>
      <c r="S198" s="282"/>
      <c r="T198" s="282"/>
      <c r="U198" s="282"/>
      <c r="V198" s="282"/>
      <c r="W198" s="282"/>
      <c r="X198" s="282"/>
      <c r="Y198" s="282"/>
      <c r="Z198" s="282"/>
      <c r="AA198" s="282"/>
      <c r="AB198" s="282"/>
    </row>
    <row r="199" spans="2:28">
      <c r="D199" s="283"/>
      <c r="E199" s="282"/>
      <c r="F199" s="282"/>
      <c r="G199" s="282"/>
      <c r="H199" s="282"/>
      <c r="I199" s="282"/>
      <c r="J199" s="282"/>
      <c r="K199" s="282"/>
      <c r="L199" s="282"/>
      <c r="M199" s="282"/>
      <c r="N199" s="282"/>
      <c r="O199" s="282"/>
      <c r="P199" s="282"/>
      <c r="Q199" s="282"/>
      <c r="R199" s="282"/>
      <c r="S199" s="282"/>
      <c r="T199" s="282"/>
      <c r="U199" s="282"/>
      <c r="V199" s="282"/>
      <c r="W199" s="282"/>
      <c r="X199" s="282"/>
      <c r="Y199" s="282"/>
      <c r="Z199" s="282"/>
      <c r="AA199" s="282"/>
      <c r="AB199" s="282"/>
    </row>
    <row r="200" spans="2:28">
      <c r="B200" s="66" t="s">
        <v>445</v>
      </c>
      <c r="E200" s="281">
        <f>3*E$131</f>
        <v>10.44</v>
      </c>
      <c r="F200" s="281">
        <f>6*F$131</f>
        <v>20.46</v>
      </c>
      <c r="G200" s="281">
        <f>9*G$131</f>
        <v>29.7</v>
      </c>
      <c r="H200" s="281">
        <f>13*H$131</f>
        <v>42.51</v>
      </c>
      <c r="I200" s="281">
        <f>20*I$131</f>
        <v>62.400000000000006</v>
      </c>
      <c r="J200" s="281">
        <f>22*J$131</f>
        <v>64.239999999999995</v>
      </c>
      <c r="K200" s="281">
        <f>32.1*K131</f>
        <v>96.620999999999995</v>
      </c>
      <c r="L200" s="281">
        <f>52.7*L131</f>
        <v>148.86819556892846</v>
      </c>
      <c r="M200" s="281">
        <f>64.9*M131</f>
        <v>178.47500000000002</v>
      </c>
      <c r="N200" s="281">
        <f>79.2*N131</f>
        <v>209.08800000000002</v>
      </c>
      <c r="O200" s="67">
        <f t="shared" ref="O200:AB200" si="288">O201*N192*2</f>
        <v>164.96563332674529</v>
      </c>
      <c r="P200" s="67">
        <f t="shared" si="288"/>
        <v>210.77618799446606</v>
      </c>
      <c r="Q200" s="67">
        <f t="shared" si="288"/>
        <v>304.28399791535151</v>
      </c>
      <c r="R200" s="67">
        <f t="shared" si="288"/>
        <v>378.09455824889528</v>
      </c>
      <c r="S200" s="67">
        <f t="shared" si="288"/>
        <v>401.17542892907204</v>
      </c>
      <c r="T200" s="67">
        <f t="shared" si="288"/>
        <v>420.44336030042047</v>
      </c>
      <c r="U200" s="67">
        <f t="shared" si="288"/>
        <v>438.29754265235323</v>
      </c>
      <c r="V200" s="67">
        <f t="shared" si="288"/>
        <v>453.29505582797668</v>
      </c>
      <c r="W200" s="67">
        <f t="shared" si="288"/>
        <v>465.89296689550036</v>
      </c>
      <c r="X200" s="67">
        <f t="shared" si="288"/>
        <v>472.21895619222028</v>
      </c>
      <c r="Y200" s="67">
        <f t="shared" si="288"/>
        <v>475.91540992146503</v>
      </c>
      <c r="Z200" s="67">
        <f t="shared" si="288"/>
        <v>477.43540131963056</v>
      </c>
      <c r="AA200" s="67">
        <f t="shared" si="288"/>
        <v>477.15886495437763</v>
      </c>
      <c r="AB200" s="67">
        <f t="shared" si="288"/>
        <v>475.40431185064745</v>
      </c>
    </row>
    <row r="201" spans="2:28">
      <c r="B201" s="66" t="s">
        <v>735</v>
      </c>
      <c r="E201" s="69"/>
      <c r="F201" s="69">
        <f t="shared" ref="F201:N201" si="289">F200/F192/2</f>
        <v>6.9767441860465115E-2</v>
      </c>
      <c r="G201" s="69">
        <f t="shared" si="289"/>
        <v>7.6271186440677971E-2</v>
      </c>
      <c r="H201" s="69">
        <f t="shared" si="289"/>
        <v>7.738095238095237E-2</v>
      </c>
      <c r="I201" s="69">
        <f t="shared" si="289"/>
        <v>9.2592592592592587E-2</v>
      </c>
      <c r="J201" s="69">
        <f t="shared" si="289"/>
        <v>7.3333333333333334E-2</v>
      </c>
      <c r="K201" s="69">
        <f t="shared" si="289"/>
        <v>5.9888059701492538E-2</v>
      </c>
      <c r="L201" s="69">
        <f t="shared" si="289"/>
        <v>8.0613509569340103E-2</v>
      </c>
      <c r="M201" s="69">
        <f t="shared" si="289"/>
        <v>8.6220205934335187E-2</v>
      </c>
      <c r="N201" s="69">
        <f t="shared" si="289"/>
        <v>0.1013971192828325</v>
      </c>
      <c r="O201" s="280">
        <v>0.08</v>
      </c>
      <c r="P201" s="280">
        <v>0.08</v>
      </c>
      <c r="Q201" s="280">
        <v>0.08</v>
      </c>
      <c r="R201" s="280">
        <v>0.08</v>
      </c>
      <c r="S201" s="280">
        <v>0.08</v>
      </c>
      <c r="T201" s="280">
        <v>0.08</v>
      </c>
      <c r="U201" s="280">
        <v>0.08</v>
      </c>
      <c r="V201" s="280">
        <v>0.08</v>
      </c>
      <c r="W201" s="280">
        <v>0.08</v>
      </c>
      <c r="X201" s="280">
        <v>0.08</v>
      </c>
      <c r="Y201" s="280">
        <v>0.08</v>
      </c>
      <c r="Z201" s="280">
        <v>0.08</v>
      </c>
      <c r="AA201" s="280">
        <v>0.08</v>
      </c>
      <c r="AB201" s="280">
        <v>0.08</v>
      </c>
    </row>
    <row r="202" spans="2:28">
      <c r="B202" s="66" t="s">
        <v>734</v>
      </c>
      <c r="E202" s="69"/>
      <c r="F202" s="69">
        <f t="shared" ref="F202:T202" si="290">F200/F4</f>
        <v>6.25E-2</v>
      </c>
      <c r="G202" s="69">
        <f t="shared" si="290"/>
        <v>7.8947368421052627E-2</v>
      </c>
      <c r="H202" s="69">
        <f t="shared" si="290"/>
        <v>8.9041095890410954E-2</v>
      </c>
      <c r="I202" s="69">
        <f t="shared" si="290"/>
        <v>0.10471204188481675</v>
      </c>
      <c r="J202" s="69">
        <f t="shared" si="290"/>
        <v>9.0534979423868317E-2</v>
      </c>
      <c r="K202" s="69">
        <f t="shared" si="290"/>
        <v>0.11977611940298508</v>
      </c>
      <c r="L202" s="69">
        <f t="shared" si="290"/>
        <v>0.16891025641025639</v>
      </c>
      <c r="M202" s="69">
        <f t="shared" si="290"/>
        <v>0.18328155888167186</v>
      </c>
      <c r="N202" s="69">
        <f t="shared" si="290"/>
        <v>0.23070200990387416</v>
      </c>
      <c r="O202" s="69">
        <f t="shared" si="290"/>
        <v>0.20555937595012166</v>
      </c>
      <c r="P202" s="69">
        <f t="shared" si="290"/>
        <v>0.27824723414315061</v>
      </c>
      <c r="Q202" s="69">
        <f t="shared" si="290"/>
        <v>0.2639056606107521</v>
      </c>
      <c r="R202" s="69">
        <f t="shared" si="290"/>
        <v>0.2177565508209956</v>
      </c>
      <c r="S202" s="69">
        <f t="shared" si="290"/>
        <v>0.17355211381369548</v>
      </c>
      <c r="T202" s="69">
        <f t="shared" si="290"/>
        <v>0.17347757250771037</v>
      </c>
      <c r="U202" s="69">
        <f t="shared" ref="U202:AA202" ca="1" si="291">U200/U4</f>
        <v>0.16195044803191716</v>
      </c>
      <c r="V202" s="69">
        <f t="shared" ca="1" si="291"/>
        <v>0.15311928130215988</v>
      </c>
      <c r="W202" s="69">
        <f t="shared" ca="1" si="291"/>
        <v>0.14997158986191583</v>
      </c>
      <c r="X202" s="69">
        <f t="shared" ca="1" si="291"/>
        <v>0.14716158483398545</v>
      </c>
      <c r="Y202" s="69">
        <f t="shared" ca="1" si="291"/>
        <v>0.14276207296758336</v>
      </c>
      <c r="Z202" s="69">
        <f t="shared" ca="1" si="291"/>
        <v>0.13798654653517292</v>
      </c>
      <c r="AA202" s="69">
        <f t="shared" ca="1" si="291"/>
        <v>0.13295912599831777</v>
      </c>
      <c r="AB202" s="69">
        <f t="shared" ref="AB202" ca="1" si="292">AB200/AB4</f>
        <v>0.12777968064135051</v>
      </c>
    </row>
    <row r="203" spans="2:28">
      <c r="B203" s="66" t="s">
        <v>733</v>
      </c>
      <c r="E203" s="69"/>
      <c r="F203" s="69">
        <f t="shared" ref="F203:T203" si="293">F184/F200</f>
        <v>3.3333333333333335</v>
      </c>
      <c r="G203" s="69">
        <f t="shared" si="293"/>
        <v>2.7777777777777777</v>
      </c>
      <c r="H203" s="69">
        <f t="shared" si="293"/>
        <v>2.8923076923076927</v>
      </c>
      <c r="I203" s="69">
        <f t="shared" si="293"/>
        <v>2.1850000000000001</v>
      </c>
      <c r="J203" s="69">
        <f t="shared" si="293"/>
        <v>2.8818181818181818</v>
      </c>
      <c r="K203" s="69">
        <f t="shared" si="293"/>
        <v>4.6261682242990654</v>
      </c>
      <c r="L203" s="69">
        <f t="shared" si="293"/>
        <v>1.7836812144212524</v>
      </c>
      <c r="M203" s="69">
        <f t="shared" si="293"/>
        <v>1.6255778120184898</v>
      </c>
      <c r="N203" s="69">
        <f t="shared" si="293"/>
        <v>0.98106060606060608</v>
      </c>
      <c r="O203" s="69">
        <f t="shared" si="293"/>
        <v>2.7356097806514188</v>
      </c>
      <c r="P203" s="69">
        <f t="shared" si="293"/>
        <v>3.7727221825497574</v>
      </c>
      <c r="Q203" s="69">
        <f t="shared" si="293"/>
        <v>2.5160705303109023</v>
      </c>
      <c r="R203" s="69">
        <f t="shared" si="293"/>
        <v>1.3815327108097204</v>
      </c>
      <c r="S203" s="69">
        <f t="shared" si="293"/>
        <v>1.3001793290092525</v>
      </c>
      <c r="T203" s="69">
        <f t="shared" si="293"/>
        <v>1.2654070684332981</v>
      </c>
      <c r="U203" s="69">
        <f t="shared" ref="U203:AA203" si="294">U184/U200</f>
        <v>1.2138603305426117</v>
      </c>
      <c r="V203" s="69">
        <f t="shared" si="294"/>
        <v>1.1736991020742646</v>
      </c>
      <c r="W203" s="69">
        <f t="shared" si="294"/>
        <v>1.0848637689638438</v>
      </c>
      <c r="X203" s="69">
        <f t="shared" si="294"/>
        <v>1.0489239906717667</v>
      </c>
      <c r="Y203" s="69">
        <f t="shared" si="294"/>
        <v>1.0199614175975149</v>
      </c>
      <c r="Z203" s="69">
        <f t="shared" si="294"/>
        <v>0.99637992432472844</v>
      </c>
      <c r="AA203" s="69">
        <f t="shared" si="294"/>
        <v>0.97701822662487414</v>
      </c>
      <c r="AB203" s="69">
        <f t="shared" ref="AB203" si="295">AB184/AB200</f>
        <v>0.96101158215509019</v>
      </c>
    </row>
    <row r="205" spans="2:28">
      <c r="B205" s="279" t="s">
        <v>1039</v>
      </c>
      <c r="C205" s="279">
        <f t="shared" ref="C205:T205" si="296">C182</f>
        <v>2001</v>
      </c>
      <c r="D205" s="279">
        <f t="shared" si="296"/>
        <v>2002</v>
      </c>
      <c r="E205" s="279">
        <f t="shared" si="296"/>
        <v>2003</v>
      </c>
      <c r="F205" s="279">
        <f t="shared" si="296"/>
        <v>2004</v>
      </c>
      <c r="G205" s="279">
        <f t="shared" si="296"/>
        <v>2005</v>
      </c>
      <c r="H205" s="279">
        <f t="shared" si="296"/>
        <v>2006</v>
      </c>
      <c r="I205" s="279">
        <f t="shared" si="296"/>
        <v>2007</v>
      </c>
      <c r="J205" s="279">
        <f t="shared" si="296"/>
        <v>2008</v>
      </c>
      <c r="K205" s="279">
        <f t="shared" si="296"/>
        <v>2009</v>
      </c>
      <c r="L205" s="279">
        <f t="shared" si="296"/>
        <v>2010</v>
      </c>
      <c r="M205" s="279">
        <f t="shared" si="296"/>
        <v>2011</v>
      </c>
      <c r="N205" s="279">
        <f t="shared" si="296"/>
        <v>2012</v>
      </c>
      <c r="O205" s="279">
        <f t="shared" si="296"/>
        <v>2013</v>
      </c>
      <c r="P205" s="279">
        <f t="shared" si="296"/>
        <v>2014</v>
      </c>
      <c r="Q205" s="279">
        <f t="shared" si="296"/>
        <v>2015</v>
      </c>
      <c r="R205" s="279">
        <f t="shared" si="296"/>
        <v>2016</v>
      </c>
      <c r="S205" s="279">
        <f t="shared" si="296"/>
        <v>2017</v>
      </c>
      <c r="T205" s="279">
        <f t="shared" si="296"/>
        <v>2018</v>
      </c>
      <c r="U205" s="279">
        <f t="shared" ref="U205:AA205" si="297">U182</f>
        <v>2019</v>
      </c>
      <c r="V205" s="279">
        <f t="shared" si="297"/>
        <v>2020</v>
      </c>
      <c r="W205" s="279">
        <f t="shared" si="297"/>
        <v>2021</v>
      </c>
      <c r="X205" s="279">
        <f t="shared" si="297"/>
        <v>2022</v>
      </c>
      <c r="Y205" s="279">
        <f t="shared" si="297"/>
        <v>2023</v>
      </c>
      <c r="Z205" s="279">
        <f t="shared" si="297"/>
        <v>2024</v>
      </c>
      <c r="AA205" s="279">
        <f t="shared" si="297"/>
        <v>2025</v>
      </c>
      <c r="AB205" s="279">
        <f t="shared" ref="AB205" si="298">AB182</f>
        <v>2026</v>
      </c>
    </row>
    <row r="207" spans="2:28">
      <c r="B207" s="66" t="s">
        <v>4</v>
      </c>
      <c r="F207" s="67">
        <f>F30</f>
        <v>0</v>
      </c>
      <c r="G207" s="67">
        <f t="shared" ref="G207:V207" si="299">G30</f>
        <v>0</v>
      </c>
      <c r="H207" s="67">
        <f t="shared" si="299"/>
        <v>0</v>
      </c>
      <c r="I207" s="67">
        <f t="shared" si="299"/>
        <v>18687.599999999999</v>
      </c>
      <c r="J207" s="67">
        <f t="shared" si="299"/>
        <v>22237.200000000001</v>
      </c>
      <c r="K207" s="67">
        <f t="shared" si="299"/>
        <v>9503</v>
      </c>
      <c r="L207" s="67">
        <f t="shared" si="299"/>
        <v>11271</v>
      </c>
      <c r="M207" s="67">
        <f t="shared" si="299"/>
        <v>17085.200000000004</v>
      </c>
      <c r="N207" s="67">
        <f t="shared" si="299"/>
        <v>-7095.6000000000013</v>
      </c>
      <c r="O207" s="67">
        <f t="shared" si="299"/>
        <v>-15768.187489549518</v>
      </c>
      <c r="P207" s="67">
        <f t="shared" si="299"/>
        <v>-109520</v>
      </c>
      <c r="Q207" s="67">
        <f t="shared" si="299"/>
        <v>-169059</v>
      </c>
      <c r="R207" s="67">
        <f t="shared" si="299"/>
        <v>-121489</v>
      </c>
      <c r="S207" s="67">
        <f t="shared" si="299"/>
        <v>-75998</v>
      </c>
      <c r="T207" s="67">
        <f t="shared" si="299"/>
        <v>-53172</v>
      </c>
      <c r="U207" s="67">
        <f t="shared" ca="1" si="299"/>
        <v>198.70176634666649</v>
      </c>
      <c r="V207" s="67">
        <f t="shared" ca="1" si="299"/>
        <v>42912.482455900397</v>
      </c>
      <c r="W207" s="67">
        <f t="shared" ref="W207:AA207" ca="1" si="300">W30</f>
        <v>86910.575945176766</v>
      </c>
      <c r="X207" s="67">
        <f t="shared" ca="1" si="300"/>
        <v>119885.68771604441</v>
      </c>
      <c r="Y207" s="67">
        <f t="shared" ca="1" si="300"/>
        <v>156913.66776100494</v>
      </c>
      <c r="Z207" s="67">
        <f t="shared" ca="1" si="300"/>
        <v>188879.61067987973</v>
      </c>
      <c r="AA207" s="67">
        <f t="shared" ca="1" si="300"/>
        <v>220495.41677643501</v>
      </c>
      <c r="AB207" s="67">
        <f t="shared" ref="AB207" ca="1" si="301">AB30</f>
        <v>251906.32101835526</v>
      </c>
    </row>
    <row r="208" spans="2:28">
      <c r="B208" s="66" t="s">
        <v>137</v>
      </c>
      <c r="F208" s="67">
        <f>-F32</f>
        <v>0</v>
      </c>
      <c r="G208" s="67">
        <f t="shared" ref="G208:V208" si="302">-G32</f>
        <v>0</v>
      </c>
      <c r="H208" s="67">
        <f t="shared" si="302"/>
        <v>0</v>
      </c>
      <c r="I208" s="67">
        <f t="shared" si="302"/>
        <v>-22811.4</v>
      </c>
      <c r="J208" s="67">
        <f t="shared" si="302"/>
        <v>-33094.799999999996</v>
      </c>
      <c r="K208" s="67">
        <f t="shared" si="302"/>
        <v>-83011.5</v>
      </c>
      <c r="L208" s="67">
        <f t="shared" si="302"/>
        <v>-47940</v>
      </c>
      <c r="M208" s="67">
        <f t="shared" si="302"/>
        <v>-51062</v>
      </c>
      <c r="N208" s="67">
        <f t="shared" si="302"/>
        <v>-37762.200000000004</v>
      </c>
      <c r="O208" s="67">
        <f t="shared" si="302"/>
        <v>-82734.960000000006</v>
      </c>
      <c r="P208" s="67">
        <f t="shared" si="302"/>
        <v>-159880</v>
      </c>
      <c r="Q208" s="67">
        <f t="shared" si="302"/>
        <v>-157680</v>
      </c>
      <c r="R208" s="67">
        <f t="shared" si="302"/>
        <v>-104780.00000000001</v>
      </c>
      <c r="S208" s="67">
        <f t="shared" si="302"/>
        <v>-103839.99999999999</v>
      </c>
      <c r="T208" s="67">
        <f t="shared" si="302"/>
        <v>-103819.0103343465</v>
      </c>
      <c r="U208" s="67">
        <f t="shared" si="302"/>
        <v>-110547.96646706587</v>
      </c>
      <c r="V208" s="67">
        <f t="shared" si="302"/>
        <v>-121924</v>
      </c>
      <c r="W208" s="67">
        <f t="shared" ref="W208:AA208" si="303">-W32</f>
        <v>-114697.77268292681</v>
      </c>
      <c r="X208" s="67">
        <f t="shared" si="303"/>
        <v>-111307.19462215346</v>
      </c>
      <c r="Y208" s="67">
        <f t="shared" si="303"/>
        <v>-108016.8453567376</v>
      </c>
      <c r="Z208" s="67">
        <f t="shared" si="303"/>
        <v>-104823.76202570427</v>
      </c>
      <c r="AA208" s="67">
        <f t="shared" si="303"/>
        <v>-101725.06935313957</v>
      </c>
      <c r="AB208" s="67">
        <f t="shared" ref="AB208" si="304">-AB32</f>
        <v>-98717.977059090656</v>
      </c>
    </row>
    <row r="209" spans="2:28">
      <c r="B209" s="66" t="s">
        <v>177</v>
      </c>
      <c r="F209" s="67">
        <f>F207+F208</f>
        <v>0</v>
      </c>
      <c r="G209" s="67">
        <f t="shared" ref="G209:V209" si="305">G207+G208</f>
        <v>0</v>
      </c>
      <c r="H209" s="67">
        <f t="shared" si="305"/>
        <v>0</v>
      </c>
      <c r="I209" s="67">
        <f t="shared" si="305"/>
        <v>-4123.8000000000029</v>
      </c>
      <c r="J209" s="67">
        <f t="shared" si="305"/>
        <v>-10857.599999999995</v>
      </c>
      <c r="K209" s="67">
        <f t="shared" si="305"/>
        <v>-73508.5</v>
      </c>
      <c r="L209" s="67">
        <f t="shared" si="305"/>
        <v>-36669</v>
      </c>
      <c r="M209" s="67">
        <f t="shared" si="305"/>
        <v>-33976.799999999996</v>
      </c>
      <c r="N209" s="67">
        <f t="shared" si="305"/>
        <v>-44857.8</v>
      </c>
      <c r="O209" s="67">
        <f t="shared" si="305"/>
        <v>-98503.147489549519</v>
      </c>
      <c r="P209" s="67">
        <f t="shared" si="305"/>
        <v>-269400</v>
      </c>
      <c r="Q209" s="67">
        <f t="shared" si="305"/>
        <v>-326739</v>
      </c>
      <c r="R209" s="67">
        <f t="shared" si="305"/>
        <v>-226269</v>
      </c>
      <c r="S209" s="67">
        <f t="shared" si="305"/>
        <v>-179838</v>
      </c>
      <c r="T209" s="67">
        <f t="shared" si="305"/>
        <v>-156991.0103343465</v>
      </c>
      <c r="U209" s="67">
        <f t="shared" ca="1" si="305"/>
        <v>-110349.2647007192</v>
      </c>
      <c r="V209" s="67">
        <f t="shared" ca="1" si="305"/>
        <v>-79011.517544099595</v>
      </c>
      <c r="W209" s="67">
        <f t="shared" ref="W209:AA209" ca="1" si="306">W207+W208</f>
        <v>-27787.19673775004</v>
      </c>
      <c r="X209" s="67">
        <f t="shared" ca="1" si="306"/>
        <v>8578.4930938909529</v>
      </c>
      <c r="Y209" s="67">
        <f t="shared" ca="1" si="306"/>
        <v>48896.822404267339</v>
      </c>
      <c r="Z209" s="67">
        <f t="shared" ca="1" si="306"/>
        <v>84055.848654175454</v>
      </c>
      <c r="AA209" s="67">
        <f t="shared" ca="1" si="306"/>
        <v>118770.34742329545</v>
      </c>
      <c r="AB209" s="67">
        <f t="shared" ref="AB209" ca="1" si="307">AB207+AB208</f>
        <v>153188.3439592646</v>
      </c>
    </row>
    <row r="210" spans="2:28">
      <c r="B210" s="66" t="s">
        <v>125</v>
      </c>
      <c r="F210" s="67">
        <f>(1-F19)*F209</f>
        <v>0</v>
      </c>
      <c r="G210" s="67">
        <f t="shared" ref="G210:V210" si="308">(1-G19)*G209</f>
        <v>0</v>
      </c>
      <c r="H210" s="67">
        <f t="shared" si="308"/>
        <v>0</v>
      </c>
      <c r="I210" s="67">
        <f t="shared" si="308"/>
        <v>-2886.6600000000017</v>
      </c>
      <c r="J210" s="67">
        <f t="shared" si="308"/>
        <v>-7600.3199999999961</v>
      </c>
      <c r="K210" s="67">
        <f t="shared" si="308"/>
        <v>-51455.95</v>
      </c>
      <c r="L210" s="67">
        <f t="shared" si="308"/>
        <v>-25668.3</v>
      </c>
      <c r="M210" s="67">
        <f t="shared" si="308"/>
        <v>-23783.759999999995</v>
      </c>
      <c r="N210" s="67">
        <f t="shared" si="308"/>
        <v>-31400.46</v>
      </c>
      <c r="O210" s="67">
        <f t="shared" si="308"/>
        <v>-68952.203242684656</v>
      </c>
      <c r="P210" s="67">
        <f t="shared" si="308"/>
        <v>-188580</v>
      </c>
      <c r="Q210" s="67">
        <f t="shared" si="308"/>
        <v>-228717.3</v>
      </c>
      <c r="R210" s="67">
        <f t="shared" si="308"/>
        <v>-158388.29999999999</v>
      </c>
      <c r="S210" s="67">
        <f t="shared" si="308"/>
        <v>-125886.59999999999</v>
      </c>
      <c r="T210" s="67">
        <f t="shared" si="308"/>
        <v>-109893.70723404255</v>
      </c>
      <c r="U210" s="67">
        <f t="shared" ca="1" si="308"/>
        <v>-77244.485290503435</v>
      </c>
      <c r="V210" s="67">
        <f t="shared" ca="1" si="308"/>
        <v>-55308.062280869715</v>
      </c>
      <c r="W210" s="67">
        <f t="shared" ref="W210:AA210" ca="1" si="309">(1-W19)*W209</f>
        <v>-19451.037716425028</v>
      </c>
      <c r="X210" s="67">
        <f t="shared" ca="1" si="309"/>
        <v>6004.9451657236668</v>
      </c>
      <c r="Y210" s="67">
        <f t="shared" ca="1" si="309"/>
        <v>34227.775682987136</v>
      </c>
      <c r="Z210" s="67">
        <f t="shared" ca="1" si="309"/>
        <v>58839.094057922812</v>
      </c>
      <c r="AA210" s="67">
        <f t="shared" ca="1" si="309"/>
        <v>83139.243196306808</v>
      </c>
      <c r="AB210" s="67">
        <f t="shared" ref="AB210" ca="1" si="310">(1-AB19)*AB209</f>
        <v>107231.84077148522</v>
      </c>
    </row>
    <row r="211" spans="2:28"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</row>
    <row r="212" spans="2:28">
      <c r="B212" s="66" t="s">
        <v>126</v>
      </c>
      <c r="N212" s="68">
        <f>N228</f>
        <v>9.9400000000000002E-2</v>
      </c>
    </row>
    <row r="213" spans="2:28">
      <c r="B213" s="66" t="s">
        <v>127</v>
      </c>
      <c r="N213" s="277">
        <f ca="1">NPV(N212,W210:AA210)</f>
        <v>105073.37655026976</v>
      </c>
    </row>
    <row r="214" spans="2:28">
      <c r="B214" s="66" t="s">
        <v>128</v>
      </c>
      <c r="E214" s="68"/>
      <c r="N214" s="298">
        <v>11</v>
      </c>
      <c r="P214" s="69">
        <f>N212-1/N214</f>
        <v>8.4909090909090906E-3</v>
      </c>
    </row>
    <row r="215" spans="2:28">
      <c r="B215" s="66" t="s">
        <v>130</v>
      </c>
      <c r="N215" s="277">
        <f ca="1">N214*AA210</f>
        <v>914531.67515937495</v>
      </c>
      <c r="X215" s="66">
        <v>30</v>
      </c>
    </row>
    <row r="216" spans="2:28">
      <c r="B216" s="66" t="s">
        <v>131</v>
      </c>
      <c r="D216" s="69"/>
      <c r="N216" s="277">
        <f ca="1">N215/(1+N212)^5</f>
        <v>569403.44303136982</v>
      </c>
      <c r="T216" s="388" t="s">
        <v>1388</v>
      </c>
      <c r="U216" s="387">
        <v>39264</v>
      </c>
      <c r="V216" s="387">
        <v>41456</v>
      </c>
      <c r="W216" s="66">
        <v>2016</v>
      </c>
      <c r="X216" s="66" t="s">
        <v>1390</v>
      </c>
    </row>
    <row r="217" spans="2:28">
      <c r="B217" s="70" t="s">
        <v>1040</v>
      </c>
      <c r="E217" s="67"/>
      <c r="H217" s="67"/>
      <c r="I217" s="67"/>
      <c r="J217" s="67"/>
      <c r="K217" s="67"/>
      <c r="L217" s="67"/>
      <c r="M217" s="67"/>
      <c r="N217" s="71">
        <f ca="1">N216+N213</f>
        <v>674476.8195816396</v>
      </c>
      <c r="O217" s="67"/>
      <c r="P217" s="67"/>
      <c r="Q217" s="67"/>
      <c r="R217" s="67" t="s">
        <v>1389</v>
      </c>
      <c r="S217" s="389">
        <v>3.15</v>
      </c>
      <c r="U217" s="66">
        <v>3.16</v>
      </c>
      <c r="V217" s="66">
        <v>2.75</v>
      </c>
    </row>
    <row r="218" spans="2:28">
      <c r="B218" s="70" t="s">
        <v>1041</v>
      </c>
      <c r="E218" s="67"/>
      <c r="H218" s="67"/>
      <c r="I218" s="67"/>
      <c r="J218" s="67"/>
      <c r="K218" s="67"/>
      <c r="L218" s="67"/>
      <c r="M218" s="67"/>
      <c r="N218" s="451">
        <f ca="1">N217/'Master old'!V52</f>
        <v>875.94392153459694</v>
      </c>
      <c r="O218" s="67"/>
      <c r="P218" s="67"/>
      <c r="Q218" s="67"/>
      <c r="R218" s="386" t="s">
        <v>1384</v>
      </c>
      <c r="S218" s="67">
        <f ca="1">N218</f>
        <v>875.94392153459694</v>
      </c>
      <c r="T218" s="67"/>
      <c r="U218" s="67"/>
      <c r="V218" s="67"/>
    </row>
    <row r="219" spans="2:28">
      <c r="R219" s="385" t="s">
        <v>1385</v>
      </c>
    </row>
    <row r="220" spans="2:28">
      <c r="B220" s="66" t="s">
        <v>218</v>
      </c>
      <c r="N220" s="109">
        <v>7.0000000000000007E-2</v>
      </c>
      <c r="R220" s="66" t="s">
        <v>938</v>
      </c>
      <c r="S220" s="157">
        <f>U220*(U217/S217)</f>
        <v>27.085714285714285</v>
      </c>
      <c r="T220" s="66">
        <v>35</v>
      </c>
      <c r="U220" s="66">
        <v>27</v>
      </c>
      <c r="X220" s="390">
        <f>S220*100/T220/$X$215</f>
        <v>2.5795918367346937</v>
      </c>
    </row>
    <row r="221" spans="2:28">
      <c r="B221" s="66" t="s">
        <v>219</v>
      </c>
      <c r="N221" s="109">
        <v>0.01</v>
      </c>
      <c r="R221" s="66" t="s">
        <v>1386</v>
      </c>
      <c r="S221" s="157">
        <f>V221*(V217/S217)</f>
        <v>92.103174603174608</v>
      </c>
      <c r="T221" s="66">
        <v>40</v>
      </c>
      <c r="V221" s="66">
        <v>105.5</v>
      </c>
      <c r="X221" s="390">
        <f>S221*100/T221/$X$215</f>
        <v>7.6752645502645516</v>
      </c>
    </row>
    <row r="222" spans="2:28">
      <c r="B222" s="66" t="s">
        <v>220</v>
      </c>
      <c r="N222" s="110">
        <f>N220+N221</f>
        <v>0.08</v>
      </c>
      <c r="R222" s="66" t="s">
        <v>1392</v>
      </c>
      <c r="S222" s="66">
        <f>X222/100*X215*T222</f>
        <v>54.999999999999993</v>
      </c>
      <c r="T222" s="66">
        <v>22</v>
      </c>
      <c r="X222" s="390">
        <f>X223*0.75</f>
        <v>8.3333333333333321</v>
      </c>
    </row>
    <row r="223" spans="2:28">
      <c r="B223" s="66" t="s">
        <v>221</v>
      </c>
      <c r="N223" s="68">
        <f>N222*(1-O19)</f>
        <v>5.5999999999999994E-2</v>
      </c>
      <c r="R223" s="384" t="s">
        <v>1387</v>
      </c>
      <c r="S223" s="66">
        <f>W223</f>
        <v>100</v>
      </c>
      <c r="T223" s="66">
        <v>30</v>
      </c>
      <c r="W223" s="66">
        <v>100</v>
      </c>
      <c r="X223" s="390">
        <f>S223*100/T223/$X$215</f>
        <v>11.111111111111111</v>
      </c>
    </row>
    <row r="224" spans="2:28">
      <c r="B224" s="66" t="s">
        <v>222</v>
      </c>
      <c r="N224" s="111">
        <v>0.04</v>
      </c>
      <c r="R224" s="113" t="s">
        <v>53</v>
      </c>
      <c r="S224" s="113">
        <v>35</v>
      </c>
    </row>
    <row r="225" spans="2:24">
      <c r="B225" s="66" t="s">
        <v>223</v>
      </c>
      <c r="H225" s="69"/>
      <c r="N225" s="66">
        <v>1.2</v>
      </c>
      <c r="S225" s="157">
        <f ca="1">S218-S221-S223-S224-S220-S222</f>
        <v>566.75503264570807</v>
      </c>
    </row>
    <row r="226" spans="2:24">
      <c r="B226" s="66" t="s">
        <v>224</v>
      </c>
      <c r="N226" s="68">
        <f>N220+N224*N225</f>
        <v>0.11800000000000001</v>
      </c>
      <c r="W226" s="157">
        <f>S220+S221+S222</f>
        <v>174.1888888888889</v>
      </c>
      <c r="X226" s="66">
        <f>T220+T221+T222</f>
        <v>97</v>
      </c>
    </row>
    <row r="227" spans="2:24">
      <c r="B227" s="66" t="s">
        <v>225</v>
      </c>
      <c r="F227" s="376"/>
      <c r="N227" s="69">
        <v>0.3</v>
      </c>
      <c r="R227" s="66" t="s">
        <v>1391</v>
      </c>
      <c r="S227" s="66">
        <f>451-S223-S224</f>
        <v>316</v>
      </c>
      <c r="X227" s="390">
        <f>W226*100/X226/X215</f>
        <v>5.9858724704085535</v>
      </c>
    </row>
    <row r="228" spans="2:24">
      <c r="B228" s="70" t="s">
        <v>126</v>
      </c>
      <c r="N228" s="112">
        <f>N227*N223+(1-N227)*N226</f>
        <v>9.9400000000000002E-2</v>
      </c>
      <c r="R228" s="392" t="s">
        <v>1393</v>
      </c>
    </row>
    <row r="229" spans="2:24">
      <c r="B229" s="66" t="s">
        <v>129</v>
      </c>
      <c r="N229" s="68">
        <f>N228-1/N214</f>
        <v>8.4909090909090906E-3</v>
      </c>
      <c r="R229" s="66" t="s">
        <v>1392</v>
      </c>
      <c r="S229" s="66">
        <f>-S222</f>
        <v>-54.999999999999993</v>
      </c>
      <c r="U229" s="157">
        <f>S220+S221+S222</f>
        <v>174.1888888888889</v>
      </c>
    </row>
    <row r="230" spans="2:24">
      <c r="R230" s="66" t="s">
        <v>938</v>
      </c>
      <c r="S230" s="157">
        <f>-S220</f>
        <v>-27.085714285714285</v>
      </c>
      <c r="U230" s="157">
        <f>U229*'Master old'!Q52</f>
        <v>114442.1</v>
      </c>
    </row>
    <row r="231" spans="2:24">
      <c r="B231" s="66" t="s">
        <v>795</v>
      </c>
      <c r="R231" s="113" t="s">
        <v>1386</v>
      </c>
      <c r="S231" s="391">
        <f>-S221</f>
        <v>-92.103174603174608</v>
      </c>
      <c r="U231" s="390">
        <f>U230/SOP!F11</f>
        <v>378.92587894514446</v>
      </c>
    </row>
    <row r="232" spans="2:24">
      <c r="B232" s="66" t="s">
        <v>796</v>
      </c>
      <c r="S232" s="157">
        <f>S227+S230+S231+S229</f>
        <v>141.8111111111111</v>
      </c>
      <c r="U232" s="67"/>
    </row>
    <row r="234" spans="2:24">
      <c r="B234" s="113" t="s">
        <v>1348</v>
      </c>
      <c r="C234" s="375"/>
    </row>
    <row r="235" spans="2:24">
      <c r="B235" s="66" t="s">
        <v>1274</v>
      </c>
      <c r="C235" s="376">
        <f ca="1">N218</f>
        <v>875.94392153459694</v>
      </c>
    </row>
    <row r="236" spans="2:24">
      <c r="B236" s="66" t="s">
        <v>1271</v>
      </c>
      <c r="C236" s="376">
        <v>-405</v>
      </c>
    </row>
    <row r="237" spans="2:24">
      <c r="B237" s="66" t="s">
        <v>1355</v>
      </c>
      <c r="C237" s="376">
        <v>-105</v>
      </c>
    </row>
    <row r="238" spans="2:24">
      <c r="B238" s="66" t="s">
        <v>1272</v>
      </c>
      <c r="C238" s="376">
        <f>(Interims!AC296+Interims!AD296)/2.8-50</f>
        <v>-50</v>
      </c>
    </row>
    <row r="239" spans="2:24">
      <c r="B239" s="66" t="s">
        <v>1273</v>
      </c>
      <c r="C239" s="376">
        <f>P40*0.72</f>
        <v>-339.69877408056044</v>
      </c>
    </row>
    <row r="240" spans="2:24">
      <c r="B240" s="113" t="s">
        <v>1394</v>
      </c>
      <c r="C240" s="377">
        <f>Q40*0.72/4</f>
        <v>-89.517534246575337</v>
      </c>
    </row>
    <row r="241" spans="2:15">
      <c r="B241" s="66" t="s">
        <v>1349</v>
      </c>
      <c r="C241" s="376">
        <f ca="1">SUM(C235:C240)</f>
        <v>-113.27238679253884</v>
      </c>
      <c r="O241" s="376">
        <f ca="1">C235-C241</f>
        <v>989.21630832713572</v>
      </c>
    </row>
    <row r="242" spans="2:15">
      <c r="B242" s="66" t="s">
        <v>1350</v>
      </c>
      <c r="C242" s="376">
        <f ca="1">C241*'Master old'!Q52/1000</f>
        <v>-74.41995812269802</v>
      </c>
    </row>
    <row r="243" spans="2:15">
      <c r="B243" s="66" t="s">
        <v>1351</v>
      </c>
      <c r="C243" s="376">
        <f ca="1">C242*1000/SOP!F11</f>
        <v>-246.40973944644662</v>
      </c>
    </row>
  </sheetData>
  <pageMargins left="0.74803149606299213" right="0.74803149606299213" top="0.98425196850393704" bottom="0.98425196850393704" header="0.51181102362204722" footer="0.51181102362204722"/>
  <pageSetup paperSize="9" scale="56" fitToHeight="3" orientation="portrait" r:id="rId1"/>
  <headerFooter alignWithMargins="0"/>
  <rowBreaks count="1" manualBreakCount="1">
    <brk id="151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AF1231"/>
  <sheetViews>
    <sheetView showGridLines="0" topLeftCell="A1092" zoomScale="70" zoomScaleNormal="70" workbookViewId="0">
      <selection activeCell="K1140" sqref="K1140"/>
    </sheetView>
  </sheetViews>
  <sheetFormatPr defaultRowHeight="14.4" outlineLevelRow="1" outlineLevelCol="2"/>
  <cols>
    <col min="2" max="2" width="24.15625" customWidth="1"/>
    <col min="3" max="5" width="9.68359375" customWidth="1" outlineLevel="2"/>
    <col min="6" max="8" width="9.68359375" customWidth="1" outlineLevel="1"/>
    <col min="9" max="13" width="8.15625" customWidth="1" outlineLevel="1"/>
    <col min="14" max="14" width="10.41796875" customWidth="1" outlineLevel="1"/>
    <col min="15" max="15" width="7" customWidth="1" outlineLevel="1"/>
    <col min="16" max="16" width="9" customWidth="1" outlineLevel="1"/>
  </cols>
  <sheetData>
    <row r="3" spans="2:16">
      <c r="B3" s="142" t="s">
        <v>82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2:16">
      <c r="B4" s="143"/>
      <c r="C4" s="143">
        <f>D4-1</f>
        <v>2006</v>
      </c>
      <c r="D4" s="143">
        <f>E4-1</f>
        <v>2007</v>
      </c>
      <c r="E4" s="143">
        <f>F4-1</f>
        <v>2008</v>
      </c>
      <c r="F4" s="143">
        <v>2009</v>
      </c>
      <c r="G4" s="143">
        <f>F4+1</f>
        <v>2010</v>
      </c>
      <c r="H4" s="143">
        <f>G4+1</f>
        <v>2011</v>
      </c>
      <c r="I4" s="143">
        <f>H4+1</f>
        <v>2012</v>
      </c>
      <c r="J4" s="143">
        <f>I4+1</f>
        <v>2013</v>
      </c>
      <c r="K4" s="143"/>
      <c r="L4" s="143">
        <f>J4+1</f>
        <v>2014</v>
      </c>
      <c r="M4" s="143">
        <f>L4+1</f>
        <v>2015</v>
      </c>
      <c r="N4" s="143">
        <f>M4+1</f>
        <v>2016</v>
      </c>
      <c r="O4" s="143">
        <f>N4+1</f>
        <v>2017</v>
      </c>
      <c r="P4" s="143">
        <f>O4+1</f>
        <v>2018</v>
      </c>
    </row>
    <row r="5" spans="2:16">
      <c r="B5" s="142" t="s">
        <v>133</v>
      </c>
      <c r="C5" s="144"/>
      <c r="D5" s="144">
        <f>SUM(Interims!C85:F85)</f>
        <v>718519</v>
      </c>
      <c r="E5" s="144">
        <f>SUM(Interims!G85:J85)</f>
        <v>760764</v>
      </c>
      <c r="F5" s="144">
        <f>'Master old'!K116</f>
        <v>740775</v>
      </c>
      <c r="G5" s="144">
        <f>'Master old'!L116</f>
        <v>840055</v>
      </c>
      <c r="H5" s="144">
        <f>'Master old'!M116</f>
        <v>966709</v>
      </c>
      <c r="I5" s="144">
        <f>'Master old'!N116</f>
        <v>1142690</v>
      </c>
      <c r="J5" s="144">
        <f>'Master old'!O116</f>
        <v>1271726</v>
      </c>
      <c r="K5" s="144"/>
      <c r="L5" s="144">
        <f>'Master old'!P116</f>
        <v>1150533</v>
      </c>
      <c r="M5" s="144">
        <f>'Master old'!Q116</f>
        <v>1150219</v>
      </c>
      <c r="N5" s="144">
        <f>'Master old'!R116</f>
        <v>1082156</v>
      </c>
      <c r="O5" s="144">
        <f>'Master old'!S116</f>
        <v>1050383</v>
      </c>
      <c r="P5" s="144">
        <f>'Master old'!T116</f>
        <v>1001679</v>
      </c>
    </row>
    <row r="6" spans="2:16">
      <c r="B6" s="142" t="s">
        <v>134</v>
      </c>
      <c r="C6" s="142"/>
      <c r="D6" s="144">
        <v>615939</v>
      </c>
      <c r="E6" s="144">
        <v>716992.2</v>
      </c>
      <c r="F6" s="144">
        <v>711383.4</v>
      </c>
      <c r="G6" s="144">
        <v>794731.50000000012</v>
      </c>
      <c r="H6" s="144">
        <v>885935.96733571286</v>
      </c>
      <c r="I6" s="144">
        <v>944148.69923636713</v>
      </c>
      <c r="J6" s="144">
        <v>1002495.6127077331</v>
      </c>
      <c r="K6" s="144"/>
      <c r="L6" s="144">
        <v>1057539.0154288188</v>
      </c>
      <c r="M6" s="144">
        <v>1112048.656317303</v>
      </c>
      <c r="N6" s="144">
        <v>1169250.8102841824</v>
      </c>
      <c r="O6" s="144">
        <v>1229274.4625577766</v>
      </c>
      <c r="P6" s="144">
        <v>1292254.6366093473</v>
      </c>
    </row>
    <row r="7" spans="2:16">
      <c r="B7" s="142" t="s">
        <v>135</v>
      </c>
      <c r="C7" s="142"/>
      <c r="D7" s="144">
        <v>225641.12064000001</v>
      </c>
      <c r="E7" s="144">
        <v>238416.78310819194</v>
      </c>
      <c r="F7" s="144">
        <v>189939.89441940549</v>
      </c>
      <c r="G7" s="144">
        <v>241281.75475983944</v>
      </c>
      <c r="H7" s="144">
        <v>298924.76763908932</v>
      </c>
      <c r="I7" s="144">
        <v>343603.71725030086</v>
      </c>
      <c r="J7" s="144">
        <v>393083.53720190667</v>
      </c>
      <c r="K7" s="144"/>
      <c r="L7" s="144">
        <v>442841.32698658004</v>
      </c>
      <c r="M7" s="144">
        <v>493883.45175102254</v>
      </c>
      <c r="N7" s="144">
        <v>541992.1057814511</v>
      </c>
      <c r="O7" s="144">
        <v>586449.27482627251</v>
      </c>
      <c r="P7" s="144">
        <v>632438.91911319376</v>
      </c>
    </row>
    <row r="8" spans="2:16">
      <c r="B8" s="142" t="s">
        <v>67</v>
      </c>
      <c r="C8" s="142"/>
      <c r="D8" s="144"/>
      <c r="E8" s="160">
        <v>3500</v>
      </c>
      <c r="F8" s="144">
        <v>7043.4000000002034</v>
      </c>
      <c r="G8" s="144">
        <v>10965.000000000058</v>
      </c>
      <c r="H8" s="144">
        <v>12958.671653887266</v>
      </c>
      <c r="I8" s="144">
        <v>24859.376790518738</v>
      </c>
      <c r="J8" s="144">
        <v>55396.042740271456</v>
      </c>
      <c r="K8" s="144"/>
      <c r="L8" s="144">
        <v>97267.40066129074</v>
      </c>
      <c r="M8" s="144">
        <v>138479.0352985572</v>
      </c>
      <c r="N8" s="144">
        <v>169826.90963220075</v>
      </c>
      <c r="O8" s="144">
        <v>187691.40447084073</v>
      </c>
      <c r="P8" s="144">
        <v>207176.31912358213</v>
      </c>
    </row>
    <row r="9" spans="2:16">
      <c r="B9" s="143" t="s">
        <v>291</v>
      </c>
      <c r="C9" s="143"/>
      <c r="D9" s="108"/>
      <c r="E9" s="108"/>
      <c r="F9" s="145">
        <v>0</v>
      </c>
      <c r="G9" s="145">
        <v>0</v>
      </c>
      <c r="H9" s="145">
        <v>0</v>
      </c>
      <c r="I9" s="145">
        <f>I8*0.8</f>
        <v>19887.501432414992</v>
      </c>
      <c r="J9" s="145">
        <f>J8*0.75</f>
        <v>41547.032055203592</v>
      </c>
      <c r="K9" s="145"/>
      <c r="L9" s="145">
        <f>L8*0.75</f>
        <v>72950.550495968055</v>
      </c>
      <c r="M9" s="145">
        <f>M8*0.75</f>
        <v>103859.2764739179</v>
      </c>
      <c r="N9" s="145">
        <f>N8*0.75</f>
        <v>127370.18222415057</v>
      </c>
      <c r="O9" s="145">
        <f>O8*0.75</f>
        <v>140768.55335313056</v>
      </c>
      <c r="P9" s="145">
        <f>P8*0.75</f>
        <v>155382.2393426866</v>
      </c>
    </row>
    <row r="10" spans="2:16">
      <c r="B10" s="142" t="s">
        <v>292</v>
      </c>
      <c r="C10" s="142"/>
      <c r="D10" s="144">
        <f t="shared" ref="D10:J10" si="0">D5+D6+D7+D8+D9</f>
        <v>1560099.1206400001</v>
      </c>
      <c r="E10" s="144">
        <f t="shared" si="0"/>
        <v>1719672.983108192</v>
      </c>
      <c r="F10" s="144">
        <f t="shared" si="0"/>
        <v>1649141.6944194057</v>
      </c>
      <c r="G10" s="144">
        <f t="shared" si="0"/>
        <v>1887033.2547598395</v>
      </c>
      <c r="H10" s="144">
        <f t="shared" si="0"/>
        <v>2164528.4066286893</v>
      </c>
      <c r="I10" s="144">
        <f t="shared" si="0"/>
        <v>2475189.2947096019</v>
      </c>
      <c r="J10" s="144">
        <f t="shared" si="0"/>
        <v>2764248.224705115</v>
      </c>
      <c r="K10" s="144"/>
      <c r="L10" s="144">
        <f>L5+L6+L7+L8+L9</f>
        <v>2821131.2935726577</v>
      </c>
      <c r="M10" s="144">
        <f>M5+M6+M7+M8+M9</f>
        <v>2998489.4198408006</v>
      </c>
      <c r="N10" s="144">
        <f>N5+N6+N7+N8+N9</f>
        <v>3090596.0079219849</v>
      </c>
      <c r="O10" s="144">
        <f>O5+O6+O7+O8+O9</f>
        <v>3194566.6952080205</v>
      </c>
      <c r="P10" s="144">
        <f>P5+P6+P7+P8+P9</f>
        <v>3288931.1141888099</v>
      </c>
    </row>
    <row r="11" spans="2:16">
      <c r="B11" s="142"/>
      <c r="C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</row>
    <row r="12" spans="2:16">
      <c r="B12" s="142" t="s">
        <v>293</v>
      </c>
      <c r="C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</row>
    <row r="13" spans="2:16">
      <c r="B13" s="142" t="str">
        <f t="shared" ref="B13:B18" si="1">B5</f>
        <v>Entel</v>
      </c>
      <c r="C13" s="142"/>
      <c r="E13" s="146">
        <f t="shared" ref="E13:J16" si="2">E5/D5-1</f>
        <v>5.8794548230457266E-2</v>
      </c>
      <c r="F13" s="146">
        <f t="shared" si="2"/>
        <v>-2.6274902597914762E-2</v>
      </c>
      <c r="G13" s="146">
        <f t="shared" si="2"/>
        <v>0.13402180149168097</v>
      </c>
      <c r="H13" s="146">
        <f t="shared" si="2"/>
        <v>0.15076869966847406</v>
      </c>
      <c r="I13" s="146">
        <f t="shared" si="2"/>
        <v>0.18204133818967239</v>
      </c>
      <c r="J13" s="146">
        <f t="shared" si="2"/>
        <v>0.11292301499094237</v>
      </c>
      <c r="K13" s="146"/>
      <c r="L13" s="146">
        <f t="shared" ref="L13:L18" si="3">L5/J5-1</f>
        <v>-9.5298043760998818E-2</v>
      </c>
      <c r="M13" s="146">
        <f t="shared" ref="M13:P18" si="4">M5/L5-1</f>
        <v>-2.7291698717024637E-4</v>
      </c>
      <c r="N13" s="146">
        <f t="shared" si="4"/>
        <v>-5.9173948613264082E-2</v>
      </c>
      <c r="O13" s="146">
        <f t="shared" si="4"/>
        <v>-2.9360831525214515E-2</v>
      </c>
      <c r="P13" s="146">
        <f t="shared" si="4"/>
        <v>-4.6367848679957691E-2</v>
      </c>
    </row>
    <row r="14" spans="2:16">
      <c r="B14" s="142" t="str">
        <f t="shared" si="1"/>
        <v>TEF</v>
      </c>
      <c r="C14" s="142"/>
      <c r="E14" s="146">
        <f t="shared" si="2"/>
        <v>0.16406364916006289</v>
      </c>
      <c r="F14" s="146">
        <f t="shared" si="2"/>
        <v>-7.8226792425355463E-3</v>
      </c>
      <c r="G14" s="146">
        <f t="shared" si="2"/>
        <v>0.11716340302571027</v>
      </c>
      <c r="H14" s="146">
        <f t="shared" si="2"/>
        <v>0.11476135944745214</v>
      </c>
      <c r="I14" s="146">
        <f t="shared" si="2"/>
        <v>6.5707606471512969E-2</v>
      </c>
      <c r="J14" s="146">
        <f t="shared" si="2"/>
        <v>6.1798436537123136E-2</v>
      </c>
      <c r="K14" s="146"/>
      <c r="L14" s="146">
        <f t="shared" si="3"/>
        <v>5.4906377667243822E-2</v>
      </c>
      <c r="M14" s="146">
        <f t="shared" si="4"/>
        <v>5.1543858045162816E-2</v>
      </c>
      <c r="N14" s="146">
        <f t="shared" si="4"/>
        <v>5.1438535213299108E-2</v>
      </c>
      <c r="O14" s="146">
        <f t="shared" si="4"/>
        <v>5.1335138488384446E-2</v>
      </c>
      <c r="P14" s="146">
        <f t="shared" si="4"/>
        <v>5.123361459940079E-2</v>
      </c>
    </row>
    <row r="15" spans="2:16">
      <c r="B15" s="142" t="str">
        <f t="shared" si="1"/>
        <v>AMX</v>
      </c>
      <c r="C15" s="142"/>
      <c r="E15" s="146">
        <f t="shared" si="2"/>
        <v>5.6619389373512741E-2</v>
      </c>
      <c r="F15" s="146">
        <f t="shared" si="2"/>
        <v>-0.20332833979555864</v>
      </c>
      <c r="G15" s="146">
        <f t="shared" si="2"/>
        <v>0.27030582752176424</v>
      </c>
      <c r="H15" s="146">
        <f t="shared" si="2"/>
        <v>0.23890332253520374</v>
      </c>
      <c r="I15" s="146">
        <f t="shared" si="2"/>
        <v>0.14946553262911699</v>
      </c>
      <c r="J15" s="146">
        <f t="shared" si="2"/>
        <v>0.14400257467401567</v>
      </c>
      <c r="K15" s="146"/>
      <c r="L15" s="146">
        <f t="shared" si="3"/>
        <v>0.126583245227885</v>
      </c>
      <c r="M15" s="146">
        <f t="shared" si="4"/>
        <v>0.11526052708714185</v>
      </c>
      <c r="N15" s="146">
        <f t="shared" si="4"/>
        <v>9.7408920788625952E-2</v>
      </c>
      <c r="O15" s="146">
        <f t="shared" si="4"/>
        <v>8.2025491830222341E-2</v>
      </c>
      <c r="P15" s="146">
        <f t="shared" si="4"/>
        <v>7.8420498176155151E-2</v>
      </c>
    </row>
    <row r="16" spans="2:16">
      <c r="B16" s="142" t="str">
        <f t="shared" si="1"/>
        <v>Nextel</v>
      </c>
      <c r="C16" s="142"/>
      <c r="E16" s="146" t="e">
        <f t="shared" si="2"/>
        <v>#DIV/0!</v>
      </c>
      <c r="F16" s="146">
        <f t="shared" si="2"/>
        <v>1.0124000000000581</v>
      </c>
      <c r="G16" s="146">
        <f t="shared" si="2"/>
        <v>0.55677655677652016</v>
      </c>
      <c r="H16" s="146">
        <f t="shared" si="2"/>
        <v>0.18182140026331028</v>
      </c>
      <c r="I16" s="146">
        <f t="shared" si="2"/>
        <v>0.91835841315275313</v>
      </c>
      <c r="J16" s="146">
        <f t="shared" si="2"/>
        <v>1.2283761659463353</v>
      </c>
      <c r="K16" s="146"/>
      <c r="L16" s="146">
        <f t="shared" si="3"/>
        <v>0.75585467570917153</v>
      </c>
      <c r="M16" s="146">
        <f t="shared" si="4"/>
        <v>0.42369421159691112</v>
      </c>
      <c r="N16" s="146">
        <f t="shared" si="4"/>
        <v>0.22637270880793148</v>
      </c>
      <c r="O16" s="146">
        <f t="shared" si="4"/>
        <v>0.10519236837866064</v>
      </c>
      <c r="P16" s="146">
        <f t="shared" si="4"/>
        <v>0.10381356944754772</v>
      </c>
    </row>
    <row r="17" spans="2:16">
      <c r="B17" s="143" t="str">
        <f t="shared" si="1"/>
        <v>VTR</v>
      </c>
      <c r="C17" s="143"/>
      <c r="D17" s="108"/>
      <c r="E17" s="147"/>
      <c r="F17" s="147"/>
      <c r="G17" s="147"/>
      <c r="H17" s="147"/>
      <c r="I17" s="147"/>
      <c r="J17" s="147">
        <f>J9/I9-1</f>
        <v>1.0891026555746888</v>
      </c>
      <c r="K17" s="147"/>
      <c r="L17" s="147">
        <f t="shared" si="3"/>
        <v>0.75585467570917153</v>
      </c>
      <c r="M17" s="147">
        <f t="shared" si="4"/>
        <v>0.42369421159691112</v>
      </c>
      <c r="N17" s="147">
        <f t="shared" si="4"/>
        <v>0.2263727088079317</v>
      </c>
      <c r="O17" s="147">
        <f t="shared" si="4"/>
        <v>0.10519236837866064</v>
      </c>
      <c r="P17" s="147">
        <f t="shared" si="4"/>
        <v>0.10381356944754772</v>
      </c>
    </row>
    <row r="18" spans="2:16">
      <c r="B18" s="142" t="str">
        <f t="shared" si="1"/>
        <v>Market service revenue</v>
      </c>
      <c r="C18" s="142"/>
      <c r="E18" s="146">
        <f>E10/D10-1</f>
        <v>0.10228443844178936</v>
      </c>
      <c r="F18" s="146">
        <f>F10/E10-1</f>
        <v>-4.1014361091668561E-2</v>
      </c>
      <c r="G18" s="146">
        <f>G10/F10-1</f>
        <v>0.14425174085734671</v>
      </c>
      <c r="H18" s="146">
        <f>H10/G10-1</f>
        <v>0.14705366276343979</v>
      </c>
      <c r="I18" s="146">
        <f>I10/H10-1</f>
        <v>0.14352359023311467</v>
      </c>
      <c r="J18" s="146">
        <f>J10/I10-1</f>
        <v>0.11678255502047419</v>
      </c>
      <c r="K18" s="146"/>
      <c r="L18" s="146">
        <f t="shared" si="3"/>
        <v>2.0578133453847514E-2</v>
      </c>
      <c r="M18" s="146">
        <f t="shared" si="4"/>
        <v>6.286773205919749E-2</v>
      </c>
      <c r="N18" s="146">
        <f t="shared" si="4"/>
        <v>3.0717663191246025E-2</v>
      </c>
      <c r="O18" s="146">
        <f t="shared" si="4"/>
        <v>3.3640982845875689E-2</v>
      </c>
      <c r="P18" s="146">
        <f t="shared" si="4"/>
        <v>2.95390354887064E-2</v>
      </c>
    </row>
    <row r="19" spans="2:16">
      <c r="B19" s="142" t="s">
        <v>396</v>
      </c>
      <c r="C19" s="142"/>
      <c r="E19" s="146">
        <v>3.6999999999999998E-2</v>
      </c>
      <c r="F19" s="146">
        <v>-1.6E-2</v>
      </c>
      <c r="G19" s="146">
        <v>5.1999999999999998E-2</v>
      </c>
      <c r="H19" s="146">
        <v>6.6000000000000003E-2</v>
      </c>
      <c r="I19" s="146">
        <v>0.04</v>
      </c>
      <c r="J19" s="146">
        <v>0.05</v>
      </c>
      <c r="K19" s="146"/>
      <c r="L19" s="142"/>
      <c r="M19" s="142"/>
      <c r="N19" s="142"/>
      <c r="O19" s="142"/>
      <c r="P19" s="142"/>
    </row>
    <row r="20" spans="2:16">
      <c r="B20" s="142" t="s">
        <v>397</v>
      </c>
      <c r="C20" s="142"/>
      <c r="D20" s="146"/>
      <c r="E20" s="146">
        <v>0.04</v>
      </c>
      <c r="F20" s="146">
        <v>1.2E-2</v>
      </c>
      <c r="G20" s="146">
        <v>0.13339999999999999</v>
      </c>
      <c r="H20" s="146">
        <v>8.4000000000000005E-2</v>
      </c>
      <c r="I20" s="146">
        <f>I19+I21</f>
        <v>7.0000000000000007E-2</v>
      </c>
      <c r="J20" s="146">
        <f>J19+J21</f>
        <v>0.08</v>
      </c>
      <c r="K20" s="146"/>
      <c r="L20" s="142"/>
      <c r="M20" s="142"/>
      <c r="N20" s="142"/>
      <c r="O20" s="142"/>
      <c r="P20" s="142"/>
    </row>
    <row r="21" spans="2:16">
      <c r="B21" s="142" t="s">
        <v>398</v>
      </c>
      <c r="C21" s="142"/>
      <c r="D21" s="146"/>
      <c r="E21" s="146">
        <f>E20-E19</f>
        <v>3.0000000000000027E-3</v>
      </c>
      <c r="F21" s="146">
        <f>F20-F19</f>
        <v>2.8000000000000001E-2</v>
      </c>
      <c r="G21" s="146">
        <f>G20-G19</f>
        <v>8.14E-2</v>
      </c>
      <c r="H21" s="146">
        <f>H20-H19</f>
        <v>1.8000000000000002E-2</v>
      </c>
      <c r="I21" s="146">
        <v>0.03</v>
      </c>
      <c r="J21" s="146">
        <v>0.03</v>
      </c>
      <c r="K21" s="146"/>
      <c r="L21" s="142"/>
      <c r="M21" s="142"/>
      <c r="N21" s="142"/>
      <c r="O21" s="142"/>
      <c r="P21" s="142"/>
    </row>
    <row r="22" spans="2:16">
      <c r="B22" s="142"/>
      <c r="C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2:16">
      <c r="B23" s="142" t="s">
        <v>70</v>
      </c>
      <c r="C23" s="142">
        <f t="shared" ref="C23:H23" si="5">E4</f>
        <v>2008</v>
      </c>
      <c r="D23" s="142">
        <f t="shared" si="5"/>
        <v>2009</v>
      </c>
      <c r="E23" s="142">
        <f t="shared" si="5"/>
        <v>2010</v>
      </c>
      <c r="F23" s="142">
        <f t="shared" si="5"/>
        <v>2011</v>
      </c>
      <c r="G23" s="142">
        <f t="shared" si="5"/>
        <v>2012</v>
      </c>
      <c r="H23" s="142">
        <f t="shared" si="5"/>
        <v>2013</v>
      </c>
      <c r="I23" s="142">
        <f>L4</f>
        <v>2014</v>
      </c>
      <c r="J23" s="142">
        <f>M4</f>
        <v>2015</v>
      </c>
      <c r="K23" s="142"/>
      <c r="L23" s="142">
        <f>N4</f>
        <v>2016</v>
      </c>
      <c r="M23" s="142">
        <f>O4</f>
        <v>2017</v>
      </c>
      <c r="N23" s="142">
        <f>P4</f>
        <v>2018</v>
      </c>
      <c r="O23" s="142"/>
      <c r="P23" s="142"/>
    </row>
    <row r="24" spans="2:16">
      <c r="B24" s="142" t="str">
        <f>B5</f>
        <v>Entel</v>
      </c>
      <c r="C24" s="146">
        <f t="shared" ref="C24:H27" si="6">E5/E$10</f>
        <v>0.44238876081251843</v>
      </c>
      <c r="D24" s="146">
        <f t="shared" si="6"/>
        <v>0.44918820651174923</v>
      </c>
      <c r="E24" s="146">
        <f t="shared" si="6"/>
        <v>0.44517233487065005</v>
      </c>
      <c r="F24" s="146">
        <f t="shared" si="6"/>
        <v>0.4466141433115563</v>
      </c>
      <c r="G24" s="146">
        <f t="shared" si="6"/>
        <v>0.46165762046658515</v>
      </c>
      <c r="H24" s="146">
        <f t="shared" si="6"/>
        <v>0.46006215673184181</v>
      </c>
      <c r="I24" s="146">
        <f t="shared" ref="I24:J28" si="7">L5/L$10</f>
        <v>0.40782681848988828</v>
      </c>
      <c r="J24" s="146">
        <f t="shared" si="7"/>
        <v>0.38359948592417203</v>
      </c>
      <c r="K24" s="146"/>
      <c r="L24" s="146">
        <f t="shared" ref="L24:N28" si="8">N5/N$10</f>
        <v>0.35014476082482426</v>
      </c>
      <c r="M24" s="146">
        <f t="shared" si="8"/>
        <v>0.3288029646009949</v>
      </c>
      <c r="N24" s="146">
        <f t="shared" si="8"/>
        <v>0.30456065062556248</v>
      </c>
    </row>
    <row r="25" spans="2:16">
      <c r="B25" s="142" t="str">
        <f>B6</f>
        <v>TEF</v>
      </c>
      <c r="C25" s="146">
        <f t="shared" si="6"/>
        <v>0.41693520049613464</v>
      </c>
      <c r="D25" s="146">
        <f t="shared" si="6"/>
        <v>0.43136584467379474</v>
      </c>
      <c r="E25" s="146">
        <f t="shared" si="6"/>
        <v>0.42115394521817512</v>
      </c>
      <c r="F25" s="146">
        <f t="shared" si="6"/>
        <v>0.40929745464305628</v>
      </c>
      <c r="G25" s="146">
        <f t="shared" si="6"/>
        <v>0.38144504796233697</v>
      </c>
      <c r="H25" s="146">
        <f t="shared" si="6"/>
        <v>0.36266483007859307</v>
      </c>
      <c r="I25" s="146">
        <f t="shared" si="7"/>
        <v>0.37486345206201299</v>
      </c>
      <c r="J25" s="146">
        <f t="shared" si="7"/>
        <v>0.37086962820644043</v>
      </c>
      <c r="K25" s="146"/>
      <c r="L25" s="146">
        <f t="shared" si="8"/>
        <v>0.37832534801931239</v>
      </c>
      <c r="M25" s="146">
        <f t="shared" si="8"/>
        <v>0.38480162721339894</v>
      </c>
      <c r="N25" s="146">
        <f t="shared" si="8"/>
        <v>0.39291021664589415</v>
      </c>
    </row>
    <row r="26" spans="2:16">
      <c r="B26" s="142" t="str">
        <f>B7</f>
        <v>AMX</v>
      </c>
      <c r="C26" s="146">
        <f t="shared" si="6"/>
        <v>0.13864076801234024</v>
      </c>
      <c r="D26" s="146">
        <f t="shared" si="6"/>
        <v>0.11517499985728967</v>
      </c>
      <c r="E26" s="146">
        <f t="shared" si="6"/>
        <v>0.12786301150296744</v>
      </c>
      <c r="F26" s="146">
        <f t="shared" si="6"/>
        <v>0.13810156832484016</v>
      </c>
      <c r="G26" s="146">
        <f t="shared" si="6"/>
        <v>0.13881916748133546</v>
      </c>
      <c r="H26" s="146">
        <f t="shared" si="6"/>
        <v>0.14220269138233421</v>
      </c>
      <c r="I26" s="146">
        <f t="shared" si="7"/>
        <v>0.15697295903792177</v>
      </c>
      <c r="J26" s="146">
        <f t="shared" si="7"/>
        <v>0.16471075351576342</v>
      </c>
      <c r="K26" s="146"/>
      <c r="L26" s="146">
        <f t="shared" si="8"/>
        <v>0.1753681504771854</v>
      </c>
      <c r="M26" s="146">
        <f t="shared" si="8"/>
        <v>0.18357709535567693</v>
      </c>
      <c r="N26" s="146">
        <f t="shared" si="8"/>
        <v>0.19229314848972751</v>
      </c>
    </row>
    <row r="27" spans="2:16">
      <c r="B27" s="142" t="str">
        <f>B8</f>
        <v>Nextel</v>
      </c>
      <c r="C27" s="146">
        <f t="shared" si="6"/>
        <v>2.0352706790066491E-3</v>
      </c>
      <c r="D27" s="146">
        <f t="shared" si="6"/>
        <v>4.2709489571664079E-3</v>
      </c>
      <c r="E27" s="146">
        <f t="shared" si="6"/>
        <v>5.8107084082074439E-3</v>
      </c>
      <c r="F27" s="146">
        <f t="shared" si="6"/>
        <v>5.9868337205473514E-3</v>
      </c>
      <c r="G27" s="146">
        <f t="shared" si="6"/>
        <v>1.0043424494301284E-2</v>
      </c>
      <c r="H27" s="146">
        <f t="shared" si="6"/>
        <v>2.0040183889846221E-2</v>
      </c>
      <c r="I27" s="146">
        <f t="shared" si="7"/>
        <v>3.4478154520101084E-2</v>
      </c>
      <c r="J27" s="146">
        <f t="shared" si="7"/>
        <v>4.6182932773499497E-2</v>
      </c>
      <c r="K27" s="146"/>
      <c r="L27" s="146">
        <f t="shared" si="8"/>
        <v>5.4949566102101707E-2</v>
      </c>
      <c r="M27" s="146">
        <f t="shared" si="8"/>
        <v>5.8753321617102387E-2</v>
      </c>
      <c r="N27" s="146">
        <f t="shared" si="8"/>
        <v>6.2991990993609068E-2</v>
      </c>
    </row>
    <row r="28" spans="2:16">
      <c r="B28" t="str">
        <f>B9</f>
        <v>VTR</v>
      </c>
      <c r="C28" s="146"/>
      <c r="D28" s="146"/>
      <c r="E28" s="146"/>
      <c r="F28" s="146"/>
      <c r="G28" s="146">
        <f>I9/I$10</f>
        <v>8.0347395954410289E-3</v>
      </c>
      <c r="H28" s="146">
        <f>J9/J$10</f>
        <v>1.5030137917384664E-2</v>
      </c>
      <c r="I28" s="146">
        <f t="shared" si="7"/>
        <v>2.585861589007581E-2</v>
      </c>
      <c r="J28" s="146">
        <f t="shared" si="7"/>
        <v>3.4637199580124622E-2</v>
      </c>
      <c r="K28" s="146"/>
      <c r="L28" s="146">
        <f t="shared" si="8"/>
        <v>4.1212174576576284E-2</v>
      </c>
      <c r="M28" s="146">
        <f t="shared" si="8"/>
        <v>4.4064991212826796E-2</v>
      </c>
      <c r="N28" s="146">
        <f t="shared" si="8"/>
        <v>4.7243993245206797E-2</v>
      </c>
    </row>
    <row r="30" spans="2:16">
      <c r="B30" s="249"/>
      <c r="C30" s="150" t="str">
        <f t="shared" ref="C30:J30" si="9">C43</f>
        <v>Q4 10</v>
      </c>
      <c r="D30" s="150" t="str">
        <f t="shared" si="9"/>
        <v>Q1 11</v>
      </c>
      <c r="E30" s="150" t="str">
        <f t="shared" si="9"/>
        <v>Q2 11</v>
      </c>
      <c r="F30" s="150" t="str">
        <f t="shared" si="9"/>
        <v>Q3 11</v>
      </c>
      <c r="G30" s="150" t="str">
        <f t="shared" si="9"/>
        <v>Q4 11</v>
      </c>
      <c r="H30" s="150" t="str">
        <f t="shared" si="9"/>
        <v>Q1 12</v>
      </c>
      <c r="I30" s="150" t="str">
        <f t="shared" si="9"/>
        <v>Q2 12</v>
      </c>
      <c r="J30" s="150" t="str">
        <f t="shared" si="9"/>
        <v>Q3 12</v>
      </c>
      <c r="K30" s="150"/>
      <c r="L30" s="150" t="str">
        <f>L43</f>
        <v>Q4 12</v>
      </c>
      <c r="M30" s="150" t="str">
        <f>M43</f>
        <v>Q1 13</v>
      </c>
      <c r="N30" s="150" t="str">
        <f>N43</f>
        <v>Q2 13</v>
      </c>
    </row>
    <row r="31" spans="2:16">
      <c r="B31" s="142" t="s">
        <v>690</v>
      </c>
      <c r="C31" s="8">
        <f t="shared" ref="C31:J31" si="10">C49</f>
        <v>0.1999485448794589</v>
      </c>
      <c r="D31" s="8">
        <f t="shared" si="10"/>
        <v>0.19291749825907023</v>
      </c>
      <c r="E31" s="8">
        <f t="shared" si="10"/>
        <v>0.15289678292621511</v>
      </c>
      <c r="F31" s="8">
        <f t="shared" si="10"/>
        <v>0.17342640230700379</v>
      </c>
      <c r="G31" s="8">
        <f t="shared" si="10"/>
        <v>0.12363964670809446</v>
      </c>
      <c r="H31" s="8">
        <f t="shared" si="10"/>
        <v>0.16327062153875382</v>
      </c>
      <c r="I31" s="8">
        <f t="shared" si="10"/>
        <v>0.16175463768481957</v>
      </c>
      <c r="J31" s="8">
        <f t="shared" si="10"/>
        <v>0.14433159773778659</v>
      </c>
      <c r="K31" s="8"/>
      <c r="L31" s="8">
        <f>L49</f>
        <v>0.13878640512259266</v>
      </c>
      <c r="M31" s="8">
        <f>M49</f>
        <v>9.339059070980249E-2</v>
      </c>
      <c r="N31" s="8">
        <f>N49</f>
        <v>8.3992124471424789E-2</v>
      </c>
    </row>
    <row r="32" spans="2:16">
      <c r="B32" s="142" t="s">
        <v>691</v>
      </c>
      <c r="C32" s="8">
        <f t="shared" ref="C32:J33" si="11">C51</f>
        <v>0.5597197898423818</v>
      </c>
      <c r="D32" s="8">
        <f t="shared" si="11"/>
        <v>0.53736442336395895</v>
      </c>
      <c r="E32" s="8">
        <f t="shared" si="11"/>
        <v>0.4717527072709562</v>
      </c>
      <c r="F32" s="8">
        <f t="shared" si="11"/>
        <v>0.41476520520208715</v>
      </c>
      <c r="G32" s="8">
        <f t="shared" si="11"/>
        <v>0.2595328991690995</v>
      </c>
      <c r="H32" s="8">
        <f t="shared" si="11"/>
        <v>0.19335490830636459</v>
      </c>
      <c r="I32" s="8">
        <f t="shared" si="11"/>
        <v>0.20991571448036916</v>
      </c>
      <c r="J32" s="8">
        <f t="shared" si="11"/>
        <v>0.1960881451716483</v>
      </c>
      <c r="K32" s="8"/>
      <c r="L32" s="8">
        <f t="shared" ref="L32:N33" si="12">L51</f>
        <v>0.16561770107154961</v>
      </c>
      <c r="M32" s="8">
        <f t="shared" si="12"/>
        <v>0.18560167775527914</v>
      </c>
      <c r="N32" s="8">
        <f t="shared" si="12"/>
        <v>7.6837685216468055E-2</v>
      </c>
    </row>
    <row r="33" spans="2:29">
      <c r="B33" s="142" t="s">
        <v>692</v>
      </c>
      <c r="C33" s="8">
        <f t="shared" si="11"/>
        <v>0.14061326882053615</v>
      </c>
      <c r="D33" s="8">
        <f t="shared" si="11"/>
        <v>0.12365234593856211</v>
      </c>
      <c r="E33" s="8">
        <f t="shared" si="11"/>
        <v>8.1414175797356547E-2</v>
      </c>
      <c r="F33" s="8">
        <f t="shared" si="11"/>
        <v>0.1135158020089857</v>
      </c>
      <c r="G33" s="8">
        <f t="shared" si="11"/>
        <v>8.8276939745222105E-2</v>
      </c>
      <c r="H33" s="8">
        <f t="shared" si="11"/>
        <v>0.15499354320944803</v>
      </c>
      <c r="I33" s="8">
        <f t="shared" si="11"/>
        <v>0.14706047422367541</v>
      </c>
      <c r="J33" s="8">
        <f t="shared" si="11"/>
        <v>0.12800747691675562</v>
      </c>
      <c r="K33" s="8"/>
      <c r="L33" s="8">
        <f t="shared" si="12"/>
        <v>0.13070551228119531</v>
      </c>
      <c r="M33" s="8">
        <f t="shared" si="12"/>
        <v>6.7177963296830123E-2</v>
      </c>
      <c r="N33" s="8">
        <f t="shared" si="12"/>
        <v>8.6294589705972591E-2</v>
      </c>
    </row>
    <row r="34" spans="2:29">
      <c r="B34" s="142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2:29">
      <c r="B35" s="142" t="s">
        <v>693</v>
      </c>
      <c r="C35" s="8">
        <f>Interims!CC129</f>
        <v>5.7482739467084931E-2</v>
      </c>
      <c r="D35" s="8">
        <f>Interims!CD129</f>
        <v>5.8292675766133062E-2</v>
      </c>
      <c r="E35" s="8">
        <f>Interims!CE129</f>
        <v>7.4242901173847464E-2</v>
      </c>
      <c r="F35" s="8">
        <f>Interims!CF129</f>
        <v>8.9877838333751736E-2</v>
      </c>
      <c r="G35" s="8">
        <f>Interims!CG129</f>
        <v>0.11947525365196854</v>
      </c>
      <c r="H35" s="8">
        <f>Interims!CH129</f>
        <v>0.13919847874511571</v>
      </c>
      <c r="I35" s="8">
        <f>Interims!CI129</f>
        <v>0.1763883199754841</v>
      </c>
      <c r="J35" s="8">
        <f>Interims!CJ129</f>
        <v>0.16727316000776637</v>
      </c>
      <c r="K35" s="8"/>
      <c r="L35" s="8">
        <f>Interims!CK129</f>
        <v>6.8583048920415335E-2</v>
      </c>
    </row>
    <row r="37" spans="2:29">
      <c r="C37" t="e">
        <f>#REF!</f>
        <v>#REF!</v>
      </c>
      <c r="D37" t="e">
        <f>#REF!</f>
        <v>#REF!</v>
      </c>
      <c r="E37" t="e">
        <f>#REF!</f>
        <v>#REF!</v>
      </c>
      <c r="F37" t="str">
        <f>C30</f>
        <v>Q4 10</v>
      </c>
      <c r="G37" t="str">
        <f>D30</f>
        <v>Q1 11</v>
      </c>
      <c r="H37" t="str">
        <f>E30</f>
        <v>Q2 11</v>
      </c>
      <c r="I37" t="str">
        <f>F30</f>
        <v>Q3 11</v>
      </c>
      <c r="J37" t="str">
        <f>G30</f>
        <v>Q4 11</v>
      </c>
      <c r="L37" t="str">
        <f>H30</f>
        <v>Q1 12</v>
      </c>
      <c r="M37" t="str">
        <f>I30</f>
        <v>Q2 12</v>
      </c>
      <c r="N37" t="str">
        <f>J30</f>
        <v>Q3 12</v>
      </c>
      <c r="O37" t="str">
        <f>L30</f>
        <v>Q4 12</v>
      </c>
      <c r="P37" t="str">
        <f>M30</f>
        <v>Q1 13</v>
      </c>
    </row>
    <row r="38" spans="2:29">
      <c r="B38" t="s">
        <v>684</v>
      </c>
      <c r="C38" s="164">
        <f>Interims!O56/Interims!P56*D38</f>
        <v>12.385717656470883</v>
      </c>
      <c r="D38" s="164">
        <f>Interims!P56/Interims!Q56*E38</f>
        <v>12.88384613689151</v>
      </c>
      <c r="E38" s="164">
        <f>Interims!Q56/Interims!R56*F38</f>
        <v>11.748602234949965</v>
      </c>
      <c r="F38" s="164">
        <f>Interims!R56/Interims!S56*G38</f>
        <v>12.014392639350483</v>
      </c>
      <c r="G38" s="164">
        <f>Interims!S56/Interims!T56*H38</f>
        <v>11.671786891294829</v>
      </c>
      <c r="H38" s="164">
        <f>Interims!T56/Interims!U56*I38</f>
        <v>11.274708582882687</v>
      </c>
      <c r="I38" s="164">
        <f>Interims!U56/Interims!V56*J38</f>
        <v>11.063517643880669</v>
      </c>
      <c r="J38" s="164">
        <f>Interims!V56/Interims!W56*L38</f>
        <v>10.910969764940848</v>
      </c>
      <c r="K38" s="164"/>
      <c r="L38" s="164">
        <f>Interims!W56/Interims!X56*M38</f>
        <v>11.137923534227319</v>
      </c>
      <c r="M38" s="164">
        <f>Interims!X56/Interims!Y56*N38</f>
        <v>10.642780026879837</v>
      </c>
      <c r="N38" s="164">
        <f>Interims!Y64</f>
        <v>10.499294102071564</v>
      </c>
      <c r="O38" s="164">
        <f>Interims!Z64</f>
        <v>10.78610343875015</v>
      </c>
      <c r="P38" s="164">
        <f>Interims!AA64</f>
        <v>11.233445619770324</v>
      </c>
    </row>
    <row r="39" spans="2:29">
      <c r="B39" t="s">
        <v>685</v>
      </c>
      <c r="C39" s="57">
        <f>Interims!BZ56</f>
        <v>-0.21886226485610838</v>
      </c>
      <c r="D39" s="57">
        <f>Interims!CA56</f>
        <v>-8.5938899224094256E-2</v>
      </c>
      <c r="E39" s="57">
        <f>Interims!CB56</f>
        <v>-0.13679483897411759</v>
      </c>
      <c r="F39" s="57">
        <f>Interims!CC56</f>
        <v>-7.2699374024737362E-2</v>
      </c>
      <c r="G39" s="57">
        <f>Interims!CD56</f>
        <v>-5.7641453242966878E-2</v>
      </c>
      <c r="H39" s="57">
        <f>Interims!CE56</f>
        <v>-0.12489574440051965</v>
      </c>
      <c r="I39" s="57">
        <f>Interims!CF56</f>
        <v>-5.8312008302681018E-2</v>
      </c>
      <c r="J39" s="57">
        <f>Interims!CG56</f>
        <v>-9.1841752432463397E-2</v>
      </c>
      <c r="K39" s="57"/>
      <c r="L39" s="57">
        <f>Interims!CH56</f>
        <v>-4.5739642270686498E-2</v>
      </c>
      <c r="M39" s="57">
        <f>Interims!CI56</f>
        <v>-5.6048327223485628E-2</v>
      </c>
      <c r="N39" s="57">
        <f>Interims!CJ56</f>
        <v>-5.0998566637725951E-2</v>
      </c>
      <c r="O39" s="57">
        <f>Interims!CK56</f>
        <v>-2.0788332531913145E-2</v>
      </c>
      <c r="P39" s="57">
        <f>Interims!CL56</f>
        <v>-1.2135424571216524E-2</v>
      </c>
    </row>
    <row r="40" spans="2:29">
      <c r="B40" t="s">
        <v>669</v>
      </c>
      <c r="C40" s="57">
        <f>Interims!BZ36</f>
        <v>0.23431274017144554</v>
      </c>
      <c r="D40" s="57">
        <f>Interims!CA36</f>
        <v>0.23003326232387789</v>
      </c>
      <c r="E40" s="57">
        <f>Interims!CB36</f>
        <v>0.27152705363845309</v>
      </c>
      <c r="F40" s="57">
        <f>Interims!CC36</f>
        <v>0.23958544891549738</v>
      </c>
      <c r="G40" s="57">
        <f>Interims!CD36</f>
        <v>0.19238303701433068</v>
      </c>
      <c r="H40" s="57">
        <f>Interims!CE36</f>
        <v>0.23575467594606359</v>
      </c>
      <c r="I40" s="57">
        <f>Interims!CF36</f>
        <v>0.18246787877369086</v>
      </c>
      <c r="J40" s="57">
        <f>Interims!CG36</f>
        <v>0.1983340377738414</v>
      </c>
      <c r="K40" s="57"/>
      <c r="L40" s="57">
        <f>Interims!CH36</f>
        <v>0.21035473584775533</v>
      </c>
      <c r="M40" s="57">
        <f>Interims!CI36</f>
        <v>0.21516864401515634</v>
      </c>
      <c r="N40" s="57">
        <f>Interims!CJ36</f>
        <v>0.1886256830195403</v>
      </c>
      <c r="O40" s="57">
        <f>Interims!CK36</f>
        <v>0.15471000790341982</v>
      </c>
      <c r="P40" s="57">
        <f>Interims!CL36</f>
        <v>8.0287713357491963E-2</v>
      </c>
    </row>
    <row r="43" spans="2:29">
      <c r="B43" s="149" t="s">
        <v>368</v>
      </c>
      <c r="C43" s="150" t="str">
        <f>Interims!R3</f>
        <v>Q4 10</v>
      </c>
      <c r="D43" s="150" t="str">
        <f>Interims!S3</f>
        <v>Q1 11</v>
      </c>
      <c r="E43" s="150" t="str">
        <f>Interims!T3</f>
        <v>Q2 11</v>
      </c>
      <c r="F43" s="150" t="str">
        <f>Interims!U3</f>
        <v>Q3 11</v>
      </c>
      <c r="G43" s="150" t="str">
        <f>Interims!V3</f>
        <v>Q4 11</v>
      </c>
      <c r="H43" s="150" t="str">
        <f>Interims!W3</f>
        <v>Q1 12</v>
      </c>
      <c r="I43" s="150" t="str">
        <f>Interims!X3</f>
        <v>Q2 12</v>
      </c>
      <c r="J43" s="150" t="str">
        <f>Interims!Y3</f>
        <v>Q3 12</v>
      </c>
      <c r="K43" s="150"/>
      <c r="L43" s="150" t="str">
        <f>Interims!Z3</f>
        <v>Q4 12</v>
      </c>
      <c r="M43" s="150" t="str">
        <f>Interims!AA3</f>
        <v>Q1 13</v>
      </c>
      <c r="N43" s="150" t="str">
        <f>Interims!AB3</f>
        <v>Q2 13</v>
      </c>
      <c r="O43" s="150" t="str">
        <f>Interims!AC3</f>
        <v>Q3 13</v>
      </c>
      <c r="P43" s="150" t="str">
        <f>Interims!AD3</f>
        <v>Q4 13</v>
      </c>
      <c r="Q43" s="150" t="str">
        <f>Interims!AE3</f>
        <v>Q1 14</v>
      </c>
      <c r="R43" s="150" t="str">
        <f>Interims!AF3</f>
        <v>Q2 14</v>
      </c>
      <c r="S43" s="150" t="str">
        <f>Interims!AG3</f>
        <v>Q3 14</v>
      </c>
      <c r="T43" s="150" t="str">
        <f>Interims!AH3</f>
        <v>Q4 14</v>
      </c>
      <c r="U43" s="150" t="str">
        <f>Interims!AI3</f>
        <v>Q1 15</v>
      </c>
      <c r="V43" s="150" t="str">
        <f>Interims!AJ3</f>
        <v>Q2 15</v>
      </c>
      <c r="W43" s="150" t="str">
        <f>Interims!AK3</f>
        <v>Q3 15</v>
      </c>
      <c r="X43" s="150" t="str">
        <f>Interims!AL3</f>
        <v>Q4 15</v>
      </c>
      <c r="Y43" s="150" t="str">
        <f>Interims!AM3</f>
        <v>Q1 16</v>
      </c>
      <c r="Z43" s="150" t="str">
        <f>Interims!AN3</f>
        <v>Q2 16</v>
      </c>
      <c r="AA43" s="150" t="str">
        <f>Interims!AO3</f>
        <v>Q3 16</v>
      </c>
      <c r="AB43" s="150" t="str">
        <f>Interims!AP3</f>
        <v>Q4 16</v>
      </c>
      <c r="AC43" s="150" t="str">
        <f>Interims!AQ3</f>
        <v>Q1 17</v>
      </c>
    </row>
    <row r="44" spans="2:29">
      <c r="B44" s="151" t="s">
        <v>69</v>
      </c>
      <c r="C44" s="153">
        <f>Interims!R5</f>
        <v>614</v>
      </c>
      <c r="D44" s="153">
        <f>Interims!S5</f>
        <v>263</v>
      </c>
      <c r="E44" s="153">
        <f>Interims!T5</f>
        <v>437</v>
      </c>
      <c r="F44" s="153">
        <f>Interims!U5</f>
        <v>301</v>
      </c>
      <c r="G44" s="153">
        <f>Interims!V5</f>
        <v>614</v>
      </c>
      <c r="H44" s="153">
        <f>Interims!W5</f>
        <v>565</v>
      </c>
      <c r="I44" s="153">
        <f>Interims!X5</f>
        <v>67</v>
      </c>
      <c r="J44" s="153">
        <f>Interims!Y5</f>
        <v>75</v>
      </c>
      <c r="K44" s="153"/>
      <c r="L44" s="153">
        <f>Interims!Z5</f>
        <v>216</v>
      </c>
      <c r="M44" s="153">
        <f>Interims!AA5</f>
        <v>27</v>
      </c>
      <c r="N44" s="153">
        <f>Interims!AB5</f>
        <v>8</v>
      </c>
      <c r="O44" s="153">
        <f>Interims!AC5</f>
        <v>108</v>
      </c>
      <c r="P44" s="153">
        <f>Interims!AD5</f>
        <v>180</v>
      </c>
      <c r="Q44" s="153">
        <f>Interims!AE5</f>
        <v>-190</v>
      </c>
      <c r="R44" s="153">
        <f>Interims!AF5</f>
        <v>-72</v>
      </c>
      <c r="S44" s="153">
        <f>Interims!AG5</f>
        <v>-56</v>
      </c>
      <c r="T44" s="153">
        <f>Interims!AH5</f>
        <v>-8</v>
      </c>
      <c r="U44" s="153">
        <f>Interims!AI5</f>
        <v>-94</v>
      </c>
      <c r="V44" s="153">
        <f>Interims!AJ5</f>
        <v>-112</v>
      </c>
      <c r="W44" s="153">
        <f>Interims!AK5</f>
        <v>-142</v>
      </c>
      <c r="X44" s="153">
        <f>Interims!AL5</f>
        <v>16</v>
      </c>
      <c r="Y44" s="153">
        <f>Interims!AM5</f>
        <v>121</v>
      </c>
      <c r="Z44" s="153">
        <f>Interims!AN5</f>
        <v>-191</v>
      </c>
      <c r="AA44" s="153">
        <f>Interims!AO5</f>
        <v>-212</v>
      </c>
      <c r="AB44" s="153">
        <f>Interims!AP5</f>
        <v>25</v>
      </c>
      <c r="AC44" s="153">
        <f>Interims!AQ5</f>
        <v>-114</v>
      </c>
    </row>
    <row r="45" spans="2:29">
      <c r="B45" s="350" t="s">
        <v>1078</v>
      </c>
      <c r="C45" s="153"/>
      <c r="D45" s="153"/>
      <c r="E45" s="153"/>
      <c r="F45" s="153">
        <f>Interims!U9-Interims!T9</f>
        <v>-216</v>
      </c>
      <c r="G45" s="153">
        <f>Interims!V9-Interims!U9</f>
        <v>473</v>
      </c>
      <c r="H45" s="153">
        <f>Interims!W9-Interims!V9</f>
        <v>411</v>
      </c>
      <c r="I45" s="153">
        <f>Interims!X9-Interims!W9</f>
        <v>-43</v>
      </c>
      <c r="J45" s="153">
        <f>Interims!Y9-Interims!X9</f>
        <v>-7</v>
      </c>
      <c r="K45" s="153"/>
      <c r="L45" s="153">
        <f>Interims!Z9-Interims!Y9</f>
        <v>177</v>
      </c>
      <c r="M45" s="153">
        <f>Interims!AA9-Interims!Z9</f>
        <v>-13</v>
      </c>
      <c r="N45" s="153">
        <f>Interims!AB9-Interims!AA9</f>
        <v>-44</v>
      </c>
      <c r="O45" s="153">
        <f>Interims!AC9-Interims!AB9</f>
        <v>54</v>
      </c>
      <c r="P45" s="153">
        <f>Interims!AD9-Interims!AC9</f>
        <v>161</v>
      </c>
      <c r="Q45" s="153">
        <f>Interims!AE9-Interims!AD9</f>
        <v>-164</v>
      </c>
      <c r="R45" s="153">
        <f>Interims!AF9-Interims!AE9</f>
        <v>-72</v>
      </c>
      <c r="S45" s="153">
        <f>Interims!AG9-Interims!AF9</f>
        <v>-63</v>
      </c>
      <c r="T45" s="153">
        <f>Interims!AH9-Interims!AG9</f>
        <v>-14</v>
      </c>
      <c r="U45" s="153">
        <f>Interims!AI9-Interims!AH9</f>
        <v>-75</v>
      </c>
      <c r="V45" s="153">
        <f>Interims!AJ9-Interims!AI9</f>
        <v>-96</v>
      </c>
      <c r="W45" s="153">
        <f>Interims!AK9-Interims!AJ9</f>
        <v>-150</v>
      </c>
      <c r="X45" s="153">
        <f>Interims!AL9-Interims!AK9</f>
        <v>32</v>
      </c>
      <c r="Y45" s="153">
        <f>Interims!AM9-Interims!AL9</f>
        <v>119</v>
      </c>
      <c r="Z45" s="153">
        <f>Interims!AN9-Interims!AM9</f>
        <v>-174</v>
      </c>
      <c r="AA45" s="153">
        <f>Interims!AO9-Interims!AN9</f>
        <v>-235</v>
      </c>
      <c r="AB45" s="153">
        <f>Interims!AP9-Interims!AO9</f>
        <v>2</v>
      </c>
      <c r="AC45" s="153">
        <f>Interims!AQ9-Interims!AP9</f>
        <v>-130</v>
      </c>
    </row>
    <row r="46" spans="2:29">
      <c r="B46" s="350" t="s">
        <v>1557</v>
      </c>
      <c r="C46" s="153"/>
      <c r="D46" s="153"/>
      <c r="E46" s="153"/>
      <c r="F46" s="153">
        <f>Interims!U8-Interims!T8</f>
        <v>443</v>
      </c>
      <c r="G46" s="153">
        <f>Interims!V8-Interims!U8</f>
        <v>83</v>
      </c>
      <c r="H46" s="153">
        <f>Interims!W8-Interims!V8</f>
        <v>75</v>
      </c>
      <c r="I46" s="153">
        <f>Interims!X8-Interims!W8</f>
        <v>79</v>
      </c>
      <c r="J46" s="153">
        <f>Interims!Y8-Interims!X8</f>
        <v>63</v>
      </c>
      <c r="K46" s="153"/>
      <c r="L46" s="153">
        <f>Interims!Z8-Interims!Y8</f>
        <v>70</v>
      </c>
      <c r="M46" s="153">
        <f>Interims!AA8-Interims!Z8</f>
        <v>42</v>
      </c>
      <c r="N46" s="153">
        <f>Interims!AB8-Interims!AA8</f>
        <v>50</v>
      </c>
      <c r="O46" s="153">
        <f>Interims!AC8-Interims!AB8</f>
        <v>63</v>
      </c>
      <c r="P46" s="153">
        <f>Interims!AD8-Interims!AC8</f>
        <v>57</v>
      </c>
      <c r="Q46" s="153">
        <f>Interims!AE8-Interims!AD8</f>
        <v>10</v>
      </c>
      <c r="R46" s="153">
        <f>Interims!AF8-Interims!AE8</f>
        <v>18</v>
      </c>
      <c r="S46" s="153">
        <f>Interims!AG8-Interims!AF8</f>
        <v>39</v>
      </c>
      <c r="T46" s="153">
        <f>Interims!AH8-Interims!AG8</f>
        <v>55</v>
      </c>
      <c r="U46" s="153">
        <f>Interims!AI8-Interims!AH8</f>
        <v>0</v>
      </c>
      <c r="V46" s="153">
        <f>Interims!AJ8-Interims!AI8</f>
        <v>-7</v>
      </c>
      <c r="W46" s="153">
        <f>Interims!AK8-Interims!AJ8</f>
        <v>30</v>
      </c>
      <c r="X46" s="153">
        <f>Interims!AL8-Interims!AK8</f>
        <v>17</v>
      </c>
      <c r="Y46" s="153">
        <f>Interims!AM8-Interims!AL8</f>
        <v>10</v>
      </c>
      <c r="Z46" s="153">
        <f>Interims!AN8-Interims!AM8</f>
        <v>-11</v>
      </c>
      <c r="AA46" s="153">
        <f>Interims!AO8-Interims!AN8</f>
        <v>37</v>
      </c>
      <c r="AB46" s="153">
        <f>Interims!AP8-Interims!AO8</f>
        <v>35</v>
      </c>
      <c r="AC46" s="153">
        <f>Interims!AQ8-Interims!AP8</f>
        <v>34</v>
      </c>
    </row>
    <row r="47" spans="2:29">
      <c r="B47" s="350" t="s">
        <v>946</v>
      </c>
      <c r="C47" s="152">
        <f>Interims!R7-Interims!Q7</f>
        <v>135</v>
      </c>
      <c r="D47" s="152">
        <f>Interims!S7-Interims!R7</f>
        <v>115</v>
      </c>
      <c r="E47" s="152">
        <f>Interims!T7-Interims!S7</f>
        <v>147</v>
      </c>
      <c r="F47" s="152">
        <f>Interims!U7-Interims!T7</f>
        <v>74</v>
      </c>
      <c r="G47" s="152">
        <f>Interims!V7-Interims!U7</f>
        <v>58</v>
      </c>
      <c r="H47" s="152">
        <f>Interims!W7-Interims!V7</f>
        <v>79</v>
      </c>
      <c r="I47" s="152">
        <f>Interims!X7-Interims!W7</f>
        <v>31</v>
      </c>
      <c r="J47" s="152">
        <f>Interims!Y7-Interims!X7</f>
        <v>19</v>
      </c>
      <c r="K47" s="152"/>
      <c r="L47" s="152">
        <f>Interims!Z7-Interims!Y7</f>
        <v>-31</v>
      </c>
      <c r="M47" s="152">
        <f>Interims!AA7-Interims!Z7</f>
        <v>-2</v>
      </c>
      <c r="N47" s="152">
        <f>Interims!AB7-Interims!AA7</f>
        <v>2</v>
      </c>
      <c r="O47" s="152">
        <f>Interims!AC7-Interims!AB7</f>
        <v>-9</v>
      </c>
      <c r="P47" s="152">
        <f>Interims!AD7-Interims!AC7</f>
        <v>-38</v>
      </c>
      <c r="Q47" s="152">
        <f>Interims!AE7-Interims!AD7</f>
        <v>-36</v>
      </c>
      <c r="R47" s="152">
        <f>Interims!AF7-Interims!AE7</f>
        <v>-18</v>
      </c>
      <c r="S47" s="152">
        <f>Interims!AG7-Interims!AF7</f>
        <v>-32</v>
      </c>
      <c r="T47" s="152">
        <f>Interims!AH7-Interims!AG7</f>
        <v>-49</v>
      </c>
      <c r="U47" s="152">
        <f>Interims!AI7-Interims!AH7</f>
        <v>-19</v>
      </c>
      <c r="V47" s="152">
        <f>Interims!AJ7-Interims!AI7</f>
        <v>-9</v>
      </c>
      <c r="W47" s="152">
        <f>Interims!AK7-Interims!AJ7</f>
        <v>-22</v>
      </c>
      <c r="X47" s="152">
        <f>Interims!AL7-Interims!AK7</f>
        <v>-33</v>
      </c>
      <c r="Y47" s="152">
        <f>Interims!AM7-Interims!AL7</f>
        <v>-8</v>
      </c>
      <c r="Z47" s="152">
        <f>Interims!AN7-Interims!AM7</f>
        <v>-6</v>
      </c>
      <c r="AA47" s="152">
        <f>Interims!AO7-Interims!AN7</f>
        <v>-14</v>
      </c>
      <c r="AB47" s="152">
        <f>Interims!AP7-Interims!AO7</f>
        <v>-12</v>
      </c>
      <c r="AC47" s="152">
        <f>Interims!AQ7-Interims!AP7</f>
        <v>-19</v>
      </c>
    </row>
    <row r="48" spans="2:29">
      <c r="B48" s="350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</row>
    <row r="49" spans="2:32">
      <c r="B49" s="3" t="s">
        <v>82</v>
      </c>
      <c r="C49" s="8">
        <f>Interims!CC83</f>
        <v>0.1999485448794589</v>
      </c>
      <c r="D49" s="8">
        <f>Interims!CD16</f>
        <v>0.19291749825907023</v>
      </c>
      <c r="E49" s="8">
        <f>Interims!CE16</f>
        <v>0.15289678292621511</v>
      </c>
      <c r="F49" s="8">
        <f>Interims!CF16</f>
        <v>0.17342640230700379</v>
      </c>
      <c r="G49" s="8">
        <f>Interims!CG16</f>
        <v>0.12363964670809446</v>
      </c>
      <c r="H49" s="8">
        <f>Interims!CH16</f>
        <v>0.16327062153875382</v>
      </c>
      <c r="I49" s="8">
        <f>Interims!CI16</f>
        <v>0.16175463768481957</v>
      </c>
      <c r="J49" s="8">
        <f>Interims!CJ16</f>
        <v>0.14433159773778659</v>
      </c>
      <c r="K49" s="8"/>
      <c r="L49" s="8">
        <f>Interims!CK16</f>
        <v>0.13878640512259266</v>
      </c>
      <c r="M49" s="8">
        <f>Interims!CL16</f>
        <v>9.339059070980249E-2</v>
      </c>
      <c r="N49" s="8">
        <f>Interims!CM16</f>
        <v>8.3992124471424789E-2</v>
      </c>
      <c r="O49" s="8">
        <f>Interims!CN16</f>
        <v>8.1797421051417407E-2</v>
      </c>
      <c r="P49" s="8">
        <f>Interims!CO16</f>
        <v>6.782769597397742E-2</v>
      </c>
      <c r="Q49" s="8">
        <f>Interims!CP16</f>
        <v>-2.4189820533513373E-2</v>
      </c>
      <c r="R49" s="8">
        <f>Interims!CQ16</f>
        <v>-8.1973664098553001E-2</v>
      </c>
      <c r="S49" s="8">
        <f>Interims!CR16</f>
        <v>-0.10278162782267519</v>
      </c>
      <c r="T49" s="8">
        <f>Interims!CS16</f>
        <v>-0.10218767976135334</v>
      </c>
      <c r="U49" s="8">
        <f>Interims!CT16</f>
        <v>-1.4681183359513184E-2</v>
      </c>
      <c r="V49" s="8">
        <f>Interims!CU16</f>
        <v>2.756310747252444E-2</v>
      </c>
      <c r="W49" s="8">
        <f>Interims!CV16</f>
        <v>1.0346283051131389E-2</v>
      </c>
      <c r="X49" s="8">
        <f>Interims!CW16</f>
        <v>-3.1821572214553506E-2</v>
      </c>
      <c r="Y49" s="8">
        <f>Interims!CX16</f>
        <v>-3.4001392843165057E-2</v>
      </c>
      <c r="Z49" s="8">
        <f>Interims!CY16</f>
        <v>-6.0980563814057254E-2</v>
      </c>
      <c r="AA49" s="8">
        <f>Interims!CZ16</f>
        <v>-5.34143043069365E-2</v>
      </c>
      <c r="AB49" s="8">
        <f>Interims!DA16</f>
        <v>-4.7039249890793777E-2</v>
      </c>
      <c r="AC49" s="8">
        <f>Interims!DB16</f>
        <v>-7.1519385703024407E-2</v>
      </c>
    </row>
    <row r="50" spans="2:32">
      <c r="B50" s="4" t="s">
        <v>1107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>
        <f>Interims!CP18</f>
        <v>4.569437264142176E-2</v>
      </c>
      <c r="R50" s="8">
        <f>Interims!CQ18</f>
        <v>4.7406301043137089E-2</v>
      </c>
      <c r="S50" s="8">
        <f>Interims!CR18</f>
        <v>1.5013922430289484E-2</v>
      </c>
      <c r="T50" s="8">
        <f>Interims!CS18</f>
        <v>3.3812320238646665E-2</v>
      </c>
      <c r="U50" s="8">
        <f>Interims!CT18</f>
        <v>3.4942694375862803E-2</v>
      </c>
      <c r="V50" s="8">
        <f>Interims!CU18</f>
        <v>3.6563107472524441E-2</v>
      </c>
      <c r="W50" s="8">
        <f>Interims!CV18</f>
        <v>1.934628305113139E-2</v>
      </c>
      <c r="X50" s="8">
        <f>Interims!CW18</f>
        <v>-3.1821572214553506E-2</v>
      </c>
      <c r="Y50" s="8">
        <f>Interims!CX18</f>
        <v>-3.4001392843165057E-2</v>
      </c>
      <c r="Z50" s="8">
        <f>Interims!CY18</f>
        <v>-6.0980563814057254E-2</v>
      </c>
      <c r="AA50" s="8">
        <f>Interims!CZ18</f>
        <v>-5.34143043069365E-2</v>
      </c>
      <c r="AB50" s="8">
        <f>Interims!DA18</f>
        <v>-4.7039249890793777E-2</v>
      </c>
      <c r="AC50" s="8">
        <f>Interims!DB18</f>
        <v>-7.1519385703024407E-2</v>
      </c>
    </row>
    <row r="51" spans="2:32">
      <c r="B51" s="3" t="s">
        <v>369</v>
      </c>
      <c r="C51" s="8">
        <f>Interims!CC25</f>
        <v>0.5597197898423818</v>
      </c>
      <c r="D51" s="8">
        <f>Interims!CD25</f>
        <v>0.53736442336395895</v>
      </c>
      <c r="E51" s="8">
        <f>Interims!CE25</f>
        <v>0.4717527072709562</v>
      </c>
      <c r="F51" s="8">
        <f>Interims!CF25</f>
        <v>0.41476520520208715</v>
      </c>
      <c r="G51" s="8">
        <f>Interims!CG25</f>
        <v>0.2595328991690995</v>
      </c>
      <c r="H51" s="8">
        <f>Interims!CH25</f>
        <v>0.19335490830636459</v>
      </c>
      <c r="I51" s="8">
        <f>Interims!CI25</f>
        <v>0.20991571448036916</v>
      </c>
      <c r="J51" s="8">
        <f>Interims!CJ25</f>
        <v>0.1960881451716483</v>
      </c>
      <c r="K51" s="8"/>
      <c r="L51" s="8">
        <f>Interims!CK25</f>
        <v>0.16561770107154961</v>
      </c>
      <c r="M51" s="8">
        <f>Interims!CL25</f>
        <v>0.18560167775527914</v>
      </c>
      <c r="N51" s="8">
        <f>Interims!CM25</f>
        <v>7.6837685216468055E-2</v>
      </c>
      <c r="O51" s="8">
        <f>Interims!CN25</f>
        <v>7.1378167760937528E-2</v>
      </c>
      <c r="P51" s="8">
        <f>Interims!CO25</f>
        <v>0.12161955457660301</v>
      </c>
      <c r="Q51" s="8">
        <f>Interims!CP25</f>
        <v>0.14109914910488275</v>
      </c>
      <c r="R51" s="8">
        <f>Interims!CQ25</f>
        <v>0.16697294309234612</v>
      </c>
      <c r="S51" s="8">
        <f>Interims!CR25</f>
        <v>0.17224839277788129</v>
      </c>
      <c r="T51" s="8">
        <f>Interims!CS25</f>
        <v>6.3196366958964578E-2</v>
      </c>
      <c r="U51" s="8">
        <f>Interims!CT25</f>
        <v>0.39247103473159517</v>
      </c>
      <c r="V51" s="8">
        <f>Interims!CU25</f>
        <v>0.43348397751859591</v>
      </c>
      <c r="W51" s="8">
        <f>Interims!CV25</f>
        <v>0.43346239816296372</v>
      </c>
      <c r="X51" s="8">
        <f>Interims!CW25</f>
        <v>0.23814471338233223</v>
      </c>
      <c r="Y51" s="8">
        <f>Interims!CX25</f>
        <v>0.48754318618042225</v>
      </c>
      <c r="Z51" s="8">
        <f>Interims!CY25</f>
        <v>0.4111174621320377</v>
      </c>
      <c r="AA51" s="8">
        <f>Interims!CZ25</f>
        <v>0.38016683850407729</v>
      </c>
      <c r="AB51" s="8">
        <f>Interims!DA25</f>
        <v>0.68649186238047388</v>
      </c>
      <c r="AC51" s="8">
        <f>Interims!DB25</f>
        <v>5.1599334202139246E-2</v>
      </c>
    </row>
    <row r="52" spans="2:32">
      <c r="B52" s="3" t="s">
        <v>370</v>
      </c>
      <c r="C52" s="8">
        <f>Interims!CC73</f>
        <v>0.14061326882053615</v>
      </c>
      <c r="D52" s="8">
        <f>Interims!CD22</f>
        <v>0.12365234593856211</v>
      </c>
      <c r="E52" s="8">
        <f>Interims!CE22</f>
        <v>8.1414175797356547E-2</v>
      </c>
      <c r="F52" s="8">
        <f>Interims!CF22</f>
        <v>0.1135158020089857</v>
      </c>
      <c r="G52" s="8">
        <f>Interims!CG22</f>
        <v>8.8276939745222105E-2</v>
      </c>
      <c r="H52" s="8">
        <f>Interims!CH22</f>
        <v>0.15499354320944803</v>
      </c>
      <c r="I52" s="8">
        <f>Interims!CI22</f>
        <v>0.14706047422367541</v>
      </c>
      <c r="J52" s="8">
        <f>Interims!CJ22</f>
        <v>0.12800747691675562</v>
      </c>
      <c r="K52" s="8"/>
      <c r="L52" s="8">
        <f>Interims!CK22</f>
        <v>0.13070551228119531</v>
      </c>
      <c r="M52" s="8">
        <f>Interims!CL22</f>
        <v>6.7177963296830123E-2</v>
      </c>
      <c r="N52" s="8">
        <f>Interims!CM22</f>
        <v>8.6294589705972591E-2</v>
      </c>
      <c r="O52" s="8">
        <f>Interims!CN22</f>
        <v>8.5282016027252494E-2</v>
      </c>
      <c r="P52" s="8">
        <f>Interims!CO22</f>
        <v>5.1126757620312269E-2</v>
      </c>
      <c r="Q52" s="8">
        <f>Interims!CP22</f>
        <v>-7.6390149700094057E-2</v>
      </c>
      <c r="R52" s="8">
        <f>Interims!CQ22</f>
        <v>-0.1613930129151967</v>
      </c>
      <c r="S52" s="8">
        <f>Interims!CR22</f>
        <v>-0.19358374972227599</v>
      </c>
      <c r="T52" s="8">
        <f>Interims!CS22</f>
        <v>-0.15697857767315992</v>
      </c>
      <c r="U52" s="8">
        <f>Interims!CT22</f>
        <v>-0.17354353962902436</v>
      </c>
      <c r="V52" s="8">
        <f>Interims!CU22</f>
        <v>-0.15264063287707519</v>
      </c>
      <c r="W52" s="8">
        <f>Interims!CV22</f>
        <v>-0.19271907338116345</v>
      </c>
      <c r="X52" s="8">
        <f>Interims!CW22</f>
        <v>-0.1446190030024429</v>
      </c>
      <c r="Y52" s="8">
        <f>Interims!CX22</f>
        <v>-0.37686534074723554</v>
      </c>
      <c r="Z52" s="8">
        <f>Interims!CY22</f>
        <v>-0.41553246060277294</v>
      </c>
      <c r="AA52" s="8">
        <f>Interims!CZ22</f>
        <v>-0.42290905303881154</v>
      </c>
      <c r="AB52" s="8">
        <f>Interims!DA22</f>
        <v>-0.49066834902511547</v>
      </c>
      <c r="AC52" s="8">
        <f>Interims!DB22</f>
        <v>3.428908909765882E-2</v>
      </c>
    </row>
    <row r="53" spans="2:3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2:32">
      <c r="B54" s="3" t="s">
        <v>604</v>
      </c>
      <c r="C54" s="8">
        <f>Interims!CC36</f>
        <v>0.23958544891549738</v>
      </c>
      <c r="D54" s="8">
        <f>Interims!CD36</f>
        <v>0.19238303701433068</v>
      </c>
      <c r="E54" s="8">
        <f>Interims!CE36</f>
        <v>0.23575467594606359</v>
      </c>
      <c r="F54" s="8">
        <f>Interims!CF36</f>
        <v>0.18246787877369086</v>
      </c>
      <c r="G54" s="8">
        <f>Interims!CG36</f>
        <v>0.1983340377738414</v>
      </c>
      <c r="H54" s="8">
        <f>Interims!CH36</f>
        <v>0.21035473584775533</v>
      </c>
      <c r="I54" s="8">
        <f>Interims!CI36</f>
        <v>0.21516864401515634</v>
      </c>
      <c r="J54" s="8">
        <f>Interims!CJ36</f>
        <v>0.1886256830195403</v>
      </c>
      <c r="K54" s="8"/>
      <c r="L54" s="8">
        <f>Interims!CK36</f>
        <v>0.15471000790341982</v>
      </c>
      <c r="M54" s="8">
        <f>Interims!CL36</f>
        <v>8.0287713357491963E-2</v>
      </c>
      <c r="N54" s="8">
        <f>Interims!CM36</f>
        <v>6.3332247099115557E-2</v>
      </c>
      <c r="O54" s="8">
        <f>Interims!CN36</f>
        <v>2.4149799283014195E-2</v>
      </c>
      <c r="P54" s="8">
        <f>Interims!CO36</f>
        <v>8.76106593867787E-3</v>
      </c>
      <c r="Q54" s="8">
        <f>Interims!CP36</f>
        <v>-1.0550348209364402E-2</v>
      </c>
      <c r="R54" s="8">
        <f>Interims!CQ36</f>
        <v>-4.4581116871449944E-2</v>
      </c>
      <c r="S54" s="8">
        <f>Interims!CR36</f>
        <v>-3.1257321606903754E-2</v>
      </c>
      <c r="T54" s="8">
        <f>Interims!CS36</f>
        <v>-4.2088768632795426E-2</v>
      </c>
      <c r="U54" s="8">
        <f>Interims!CT36</f>
        <v>-2.1697754880054321E-2</v>
      </c>
      <c r="V54" s="8">
        <f>Interims!CU36</f>
        <v>-2.9719160926245269E-2</v>
      </c>
      <c r="W54" s="8">
        <f>Interims!CV36</f>
        <v>2.5833467986477343E-2</v>
      </c>
      <c r="X54" s="8">
        <f>Interims!CW36</f>
        <v>5.5130107846047105E-2</v>
      </c>
      <c r="Y54" s="8">
        <f>Interims!CX36</f>
        <v>5.5681005518035231E-2</v>
      </c>
      <c r="Z54" s="8">
        <f>Interims!CY36</f>
        <v>9.540404416888415E-2</v>
      </c>
      <c r="AA54" s="8">
        <f>Interims!CZ36</f>
        <v>2.5560839000620783E-2</v>
      </c>
      <c r="AB54" s="8">
        <f>Interims!DA36</f>
        <v>6.2971292880709129E-4</v>
      </c>
      <c r="AC54" s="8"/>
    </row>
    <row r="55" spans="2:32">
      <c r="B55" s="3" t="s">
        <v>371</v>
      </c>
      <c r="C55" s="8">
        <f>Interims!CC56</f>
        <v>-7.2699374024737362E-2</v>
      </c>
      <c r="D55" s="8">
        <f>Interims!CD56</f>
        <v>-5.7641453242966878E-2</v>
      </c>
      <c r="E55" s="8">
        <f>Interims!CE56</f>
        <v>-0.12489574440051965</v>
      </c>
      <c r="F55" s="8">
        <f>Interims!CF56</f>
        <v>-5.8312008302681018E-2</v>
      </c>
      <c r="G55" s="8">
        <f>Interims!CG56</f>
        <v>-9.1841752432463397E-2</v>
      </c>
      <c r="H55" s="8">
        <f>Interims!CH56</f>
        <v>-4.5739642270686498E-2</v>
      </c>
      <c r="I55" s="8">
        <f>Interims!CI56</f>
        <v>-5.6048327223485628E-2</v>
      </c>
      <c r="J55" s="8">
        <f>Interims!CJ56</f>
        <v>-5.0998566637725951E-2</v>
      </c>
      <c r="K55" s="8"/>
      <c r="L55" s="8">
        <f>Interims!CK56</f>
        <v>-2.0788332531913145E-2</v>
      </c>
      <c r="M55" s="8">
        <f>Interims!CL56</f>
        <v>-1.2135424571216524E-2</v>
      </c>
      <c r="N55" s="8">
        <f>Interims!CM56</f>
        <v>2.1594701627360768E-2</v>
      </c>
      <c r="O55" s="8">
        <f>Interims!CN56</f>
        <v>5.9690698359786687E-2</v>
      </c>
      <c r="P55" s="8">
        <f>Interims!CO56</f>
        <v>4.1997746653923418E-2</v>
      </c>
      <c r="Q55" s="8">
        <f>Interims!CP56</f>
        <v>-6.654184108466521E-2</v>
      </c>
      <c r="R55" s="8">
        <f>Interims!CQ56</f>
        <v>-0.1222624946047145</v>
      </c>
      <c r="S55" s="8">
        <f>Interims!CR56</f>
        <v>-0.16756403091957517</v>
      </c>
      <c r="T55" s="8">
        <f>Interims!CS56</f>
        <v>-0.11993784525982121</v>
      </c>
      <c r="U55" s="8">
        <f>Interims!CT56</f>
        <v>-0.15521357076140896</v>
      </c>
      <c r="V55" s="8">
        <f>Interims!CU56</f>
        <v>-0.12668648807717642</v>
      </c>
      <c r="W55" s="8">
        <f>Interims!CV56</f>
        <v>-0.21304875322172823</v>
      </c>
      <c r="X55" s="8">
        <f>Interims!CW56</f>
        <v>-0.18931230315876379</v>
      </c>
      <c r="Y55" s="8">
        <f>Interims!CX56</f>
        <v>-0.40973205353165876</v>
      </c>
      <c r="Z55" s="8">
        <f>Interims!CY56</f>
        <v>-0.46643656967627856</v>
      </c>
      <c r="AA55" s="8">
        <f>Interims!CZ56</f>
        <v>-0.43729233311643723</v>
      </c>
      <c r="AB55" s="8">
        <f>Interims!DA56</f>
        <v>-0.49098887990834372</v>
      </c>
      <c r="AC55" s="8"/>
    </row>
    <row r="56" spans="2:32">
      <c r="B56" s="3" t="s">
        <v>373</v>
      </c>
      <c r="C56" s="6">
        <v>1.8700000000000001E-2</v>
      </c>
      <c r="D56" s="6">
        <v>2.1399999999999999E-2</v>
      </c>
      <c r="E56" s="6">
        <v>2.1600000000000001E-2</v>
      </c>
      <c r="F56" s="6">
        <v>2.53E-2</v>
      </c>
      <c r="G56" s="6">
        <v>2.64E-2</v>
      </c>
      <c r="H56" s="6">
        <v>2.6599999999999999E-2</v>
      </c>
      <c r="I56" s="6">
        <v>3.2399999999999998E-2</v>
      </c>
      <c r="J56" s="6">
        <v>2.98E-2</v>
      </c>
      <c r="K56" s="6"/>
      <c r="L56" s="6">
        <v>3.6299999999999999E-2</v>
      </c>
      <c r="M56" s="6">
        <v>3.5499999999999997E-2</v>
      </c>
      <c r="N56" s="6">
        <v>3.3000000000000002E-2</v>
      </c>
      <c r="O56" s="6">
        <f>Interims!AC65</f>
        <v>2.6599999999999999E-2</v>
      </c>
      <c r="P56" s="6">
        <f>Interims!AD65</f>
        <v>2.7699999999999999E-2</v>
      </c>
      <c r="Q56" s="6">
        <f>Interims!AE65</f>
        <v>3.04E-2</v>
      </c>
      <c r="R56" s="6">
        <f>Interims!AF65</f>
        <v>2.6499999999999999E-2</v>
      </c>
      <c r="S56" s="6">
        <f>Interims!AG65</f>
        <v>2.6700000000000002E-2</v>
      </c>
      <c r="T56" s="6">
        <f>Interims!AH65</f>
        <v>3.15E-2</v>
      </c>
      <c r="U56" s="6">
        <f>Interims!AI65</f>
        <v>2.76E-2</v>
      </c>
      <c r="V56" s="6">
        <f>Interims!AJ65</f>
        <v>2.7699999999999999E-2</v>
      </c>
      <c r="W56" s="6">
        <f>Interims!AK65</f>
        <v>2.8899999999999999E-2</v>
      </c>
      <c r="X56" s="6">
        <f>Interims!AL65</f>
        <v>3.1800000000000002E-2</v>
      </c>
      <c r="Y56" s="6">
        <f>Interims!AM65</f>
        <v>2.01E-2</v>
      </c>
      <c r="Z56" s="6">
        <f>Interims!AN65</f>
        <v>2.4899999999999999E-2</v>
      </c>
      <c r="AA56" s="6">
        <f>Interims!AO65</f>
        <v>2.92E-2</v>
      </c>
      <c r="AB56" s="6">
        <f>Interims!AP65</f>
        <v>2.8400000000000002E-2</v>
      </c>
      <c r="AC56" s="6">
        <f>Interims!AQ65</f>
        <v>2.87E-2</v>
      </c>
    </row>
    <row r="57" spans="2:32">
      <c r="B57" s="10"/>
      <c r="C57" s="8"/>
      <c r="D57" s="8"/>
      <c r="E57" s="8"/>
      <c r="F57" s="8"/>
    </row>
    <row r="58" spans="2:32">
      <c r="B58" s="3" t="s">
        <v>374</v>
      </c>
      <c r="C58" s="8">
        <f>Interims!R89</f>
        <v>0.37654587836406017</v>
      </c>
      <c r="D58" s="8">
        <f>Interims!S89</f>
        <v>0.45309091544954994</v>
      </c>
      <c r="E58" s="8">
        <f>Interims!T89</f>
        <v>0.43741610453162966</v>
      </c>
      <c r="F58" s="8">
        <f>Interims!U89</f>
        <v>0.43365676900688432</v>
      </c>
      <c r="G58" s="8">
        <f ca="1">Interims!V89</f>
        <v>0.3263107812351318</v>
      </c>
      <c r="H58" s="8">
        <f>Interims!W89</f>
        <v>0.41610857123880579</v>
      </c>
      <c r="I58" s="8">
        <f>Interims!X89</f>
        <v>0.39637583453569469</v>
      </c>
      <c r="J58" s="8">
        <f>Interims!Y89</f>
        <v>0.39905270880685906</v>
      </c>
      <c r="K58" s="8"/>
      <c r="L58" s="8">
        <f>Interims!Z89</f>
        <v>0</v>
      </c>
      <c r="M58" s="8">
        <f>Interims!AA89</f>
        <v>0</v>
      </c>
      <c r="N58" s="8">
        <f>Interims!AB89</f>
        <v>0</v>
      </c>
      <c r="O58" s="8">
        <f>Interims!AC89</f>
        <v>0</v>
      </c>
      <c r="P58" s="8">
        <f>Interims!AD89</f>
        <v>0</v>
      </c>
    </row>
    <row r="59" spans="2:32">
      <c r="B59" s="3" t="s">
        <v>375</v>
      </c>
      <c r="C59" s="8">
        <f>Interims!R167</f>
        <v>0.31443913486731778</v>
      </c>
      <c r="D59" s="8">
        <f>Interims!S167</f>
        <v>0.21453561313617958</v>
      </c>
      <c r="E59" s="8">
        <f>Interims!T167</f>
        <v>0.27622763602369577</v>
      </c>
      <c r="F59" s="8">
        <f>Interims!U167</f>
        <v>0.23333767460033211</v>
      </c>
      <c r="G59" s="8">
        <f>Interims!V167</f>
        <v>0.41518421107130282</v>
      </c>
      <c r="H59" s="8">
        <f>Interims!W167</f>
        <v>0.22196096181711836</v>
      </c>
      <c r="I59" s="8">
        <f>Interims!X167</f>
        <v>0.34660315654770368</v>
      </c>
      <c r="J59" s="8">
        <f>Interims!Y167</f>
        <v>0.2659882815817034</v>
      </c>
      <c r="K59" s="8"/>
      <c r="L59" s="8">
        <f>Interims!Z167</f>
        <v>0.22630566793946177</v>
      </c>
      <c r="M59" s="8">
        <f>Interims!AA167</f>
        <v>0.12611811061152509</v>
      </c>
      <c r="N59" s="8">
        <f>Interims!AB167</f>
        <v>0.25444812476192158</v>
      </c>
      <c r="O59" s="8">
        <f>Interims!AC167</f>
        <v>0.23588896480376464</v>
      </c>
      <c r="P59" s="8">
        <f>Interims!AD167</f>
        <v>0.26282340944279686</v>
      </c>
    </row>
    <row r="60" spans="2:32">
      <c r="B60" s="2" t="s">
        <v>376</v>
      </c>
      <c r="C60" s="83">
        <f>Interims!R168</f>
        <v>0.22704917760590834</v>
      </c>
      <c r="D60" s="83">
        <f>Interims!S168</f>
        <v>0.13441498169108423</v>
      </c>
      <c r="E60" s="83">
        <f>Interims!T168</f>
        <v>0.18641370828457487</v>
      </c>
      <c r="F60" s="83">
        <f>Interims!U168</f>
        <v>0.14045518184482142</v>
      </c>
      <c r="G60" s="83">
        <f>Interims!V168</f>
        <v>0.31713652595049246</v>
      </c>
      <c r="H60" s="83">
        <f>Interims!W168</f>
        <v>0.10299473005105354</v>
      </c>
      <c r="I60" s="83">
        <f>Interims!X168</f>
        <v>0.21761126119721313</v>
      </c>
      <c r="J60" s="83">
        <f>Interims!Y168</f>
        <v>0.14755017124741712</v>
      </c>
      <c r="K60" s="83"/>
      <c r="L60" s="83">
        <f>Interims!Z168</f>
        <v>0</v>
      </c>
      <c r="M60" s="83">
        <f>Interims!AA168</f>
        <v>0</v>
      </c>
      <c r="N60" s="83">
        <f>Interims!AB168</f>
        <v>0</v>
      </c>
      <c r="O60" s="83">
        <f>Interims!AC168</f>
        <v>0</v>
      </c>
      <c r="P60" s="83">
        <f>Interims!AD168</f>
        <v>0</v>
      </c>
    </row>
    <row r="61" spans="2:32">
      <c r="B61" s="10"/>
      <c r="C61" s="10"/>
      <c r="D61" s="10"/>
      <c r="E61" s="10"/>
      <c r="F61" s="10"/>
    </row>
    <row r="62" spans="2:32">
      <c r="B62" s="10"/>
      <c r="C62" s="10"/>
      <c r="D62" s="10"/>
      <c r="E62" s="10"/>
      <c r="F62" s="10"/>
    </row>
    <row r="63" spans="2:32">
      <c r="B63" s="108"/>
      <c r="C63" s="159" t="str">
        <f>Interims!C3</f>
        <v>Q1 07</v>
      </c>
      <c r="D63" s="159" t="str">
        <f>Interims!D3</f>
        <v>Q2 07</v>
      </c>
      <c r="E63" s="159" t="str">
        <f>Interims!E3</f>
        <v>Q3 07</v>
      </c>
      <c r="F63" s="159" t="str">
        <f>Interims!F3</f>
        <v>Q4 07</v>
      </c>
      <c r="G63" s="159" t="str">
        <f>Interims!G3</f>
        <v>Q1 08</v>
      </c>
      <c r="H63" s="159" t="str">
        <f>Interims!H3</f>
        <v>Q2 08</v>
      </c>
      <c r="I63" s="159" t="str">
        <f>Interims!I3</f>
        <v>Q3 08</v>
      </c>
      <c r="J63" s="159" t="str">
        <f>Interims!J3</f>
        <v>Q4 08</v>
      </c>
      <c r="K63" s="159"/>
      <c r="L63" s="159" t="str">
        <f>Interims!K3</f>
        <v>Q1 09</v>
      </c>
      <c r="M63" s="159" t="str">
        <f>Interims!L3</f>
        <v>Q2 09</v>
      </c>
      <c r="N63" s="159" t="str">
        <f>Interims!M3</f>
        <v>Q3 09</v>
      </c>
      <c r="O63" s="159" t="str">
        <f>Interims!N3</f>
        <v>Q4 09</v>
      </c>
      <c r="P63" s="159" t="str">
        <f>Interims!O3</f>
        <v>Q1 10</v>
      </c>
      <c r="Q63" s="159" t="str">
        <f>Interims!P3</f>
        <v>Q2 10</v>
      </c>
      <c r="R63" s="159" t="str">
        <f>Interims!Q3</f>
        <v>Q3 10</v>
      </c>
      <c r="S63" s="159" t="str">
        <f>Interims!R3</f>
        <v>Q4 10</v>
      </c>
      <c r="T63" s="159" t="str">
        <f>Interims!S3</f>
        <v>Q1 11</v>
      </c>
      <c r="U63" s="159" t="str">
        <f>Interims!T3</f>
        <v>Q2 11</v>
      </c>
      <c r="V63" s="159" t="str">
        <f>Interims!U3</f>
        <v>Q3 11</v>
      </c>
      <c r="W63" s="159" t="str">
        <f>Interims!V3</f>
        <v>Q4 11</v>
      </c>
      <c r="X63" s="159" t="s">
        <v>404</v>
      </c>
      <c r="Y63" s="159" t="s">
        <v>405</v>
      </c>
      <c r="Z63" s="159" t="s">
        <v>406</v>
      </c>
      <c r="AA63" s="159" t="s">
        <v>407</v>
      </c>
      <c r="AB63" s="159" t="s">
        <v>730</v>
      </c>
      <c r="AC63" s="159" t="s">
        <v>408</v>
      </c>
      <c r="AD63" s="159" t="s">
        <v>409</v>
      </c>
      <c r="AE63" s="159" t="s">
        <v>410</v>
      </c>
      <c r="AF63" s="159" t="s">
        <v>411</v>
      </c>
    </row>
    <row r="64" spans="2:32">
      <c r="B64" s="10" t="s">
        <v>388</v>
      </c>
      <c r="C64" s="15">
        <f>Interims!C56</f>
        <v>0</v>
      </c>
      <c r="D64" s="15">
        <f>Interims!D56</f>
        <v>0</v>
      </c>
      <c r="E64" s="15">
        <f>Interims!E56</f>
        <v>0</v>
      </c>
      <c r="F64" s="15">
        <f>Interims!F56</f>
        <v>0</v>
      </c>
      <c r="G64" s="15">
        <f>Interims!G56</f>
        <v>0</v>
      </c>
      <c r="H64" s="15">
        <f>Interims!H56</f>
        <v>0</v>
      </c>
      <c r="I64" s="15">
        <f>Interims!I56</f>
        <v>80.964208053949079</v>
      </c>
      <c r="J64" s="15">
        <f>Interims!J56</f>
        <v>85.083540420401349</v>
      </c>
      <c r="K64" s="15"/>
      <c r="L64" s="15">
        <f>Interims!K56</f>
        <v>76.480572580038299</v>
      </c>
      <c r="M64" s="15">
        <f>Interims!L56</f>
        <v>67.987312734657451</v>
      </c>
      <c r="N64" s="15">
        <f>Interims!M56</f>
        <v>65.649246432519021</v>
      </c>
      <c r="O64" s="15">
        <f>Interims!N56</f>
        <v>62.494074550856126</v>
      </c>
      <c r="P64" s="15">
        <f>Interims!O56</f>
        <v>59.741861247679132</v>
      </c>
      <c r="Q64" s="15">
        <f>Interims!P56</f>
        <v>62.144557917036742</v>
      </c>
      <c r="R64" s="15">
        <f>Interims!Q56</f>
        <v>56.668768338010416</v>
      </c>
      <c r="S64" s="15">
        <f>Interims!R56</f>
        <v>57.950794450753619</v>
      </c>
      <c r="T64" s="15">
        <f>Interims!S56</f>
        <v>56.298253545923224</v>
      </c>
      <c r="U64" s="15">
        <f>Interims!T56</f>
        <v>54.38296709554723</v>
      </c>
      <c r="V64" s="15">
        <f>Interims!U56</f>
        <v>53.364298648181645</v>
      </c>
      <c r="W64" s="15">
        <f>Interims!V56</f>
        <v>52.628491933542932</v>
      </c>
      <c r="X64" s="15">
        <f>Interims!W56</f>
        <v>53.723191568268291</v>
      </c>
      <c r="Y64" s="15">
        <f>Interims!X56</f>
        <v>51.334892760391945</v>
      </c>
      <c r="Z64" s="15">
        <f>Interims!Y56</f>
        <v>50.642795907496847</v>
      </c>
      <c r="AA64" s="15">
        <f>Interims!Z56</f>
        <v>51.534433342575333</v>
      </c>
      <c r="AB64" s="15">
        <f>Interims!AA56</f>
        <v>53.071237829266558</v>
      </c>
      <c r="AC64" s="15">
        <f>(1+AC67)*Y64</f>
        <v>48.768148122372345</v>
      </c>
      <c r="AD64" s="15">
        <f>(1+AD67)*Z64</f>
        <v>48.110656112122001</v>
      </c>
      <c r="AE64" s="15">
        <f>(1+AE67)*AA64</f>
        <v>48.957711675446568</v>
      </c>
      <c r="AF64" s="15">
        <f>(1+AF67)*AB64</f>
        <v>50.417675937803224</v>
      </c>
    </row>
    <row r="65" spans="2:32">
      <c r="B65" s="10" t="s">
        <v>393</v>
      </c>
      <c r="C65" s="15">
        <f>Interims!C60</f>
        <v>0</v>
      </c>
      <c r="D65" s="15">
        <f>Interims!D60</f>
        <v>0</v>
      </c>
      <c r="E65" s="15">
        <f>Interims!E60</f>
        <v>0</v>
      </c>
      <c r="F65" s="15">
        <f>Interims!F60</f>
        <v>0</v>
      </c>
      <c r="G65" s="15">
        <f>Interims!G60</f>
        <v>0</v>
      </c>
      <c r="H65" s="15">
        <f>Interims!H60</f>
        <v>0</v>
      </c>
      <c r="I65" s="15">
        <f>Interims!I61</f>
        <v>70.250853138569624</v>
      </c>
      <c r="J65" s="15">
        <f>Interims!J61</f>
        <v>75.555964750507798</v>
      </c>
      <c r="K65" s="15"/>
      <c r="L65" s="15">
        <f>Interims!K61</f>
        <v>79.785337401292196</v>
      </c>
      <c r="M65" s="15">
        <f>Interims!L61</f>
        <v>68.847232043276705</v>
      </c>
      <c r="N65" s="15">
        <f>Interims!M61</f>
        <v>65.836136655594146</v>
      </c>
      <c r="O65" s="15">
        <f>Interims!N61</f>
        <v>61.772726010852573</v>
      </c>
      <c r="P65" s="15">
        <f>Interims!O61</f>
        <v>58.228268449689629</v>
      </c>
      <c r="Q65" s="15">
        <f>Interims!P61</f>
        <v>61.322598517440895</v>
      </c>
      <c r="R65" s="15">
        <f>Interims!Q61</f>
        <v>54.27056379530913</v>
      </c>
      <c r="S65" s="15">
        <f>Interims!R61</f>
        <v>55.921630281934839</v>
      </c>
      <c r="T65" s="15">
        <f>Interims!S61</f>
        <v>53.79339367378541</v>
      </c>
      <c r="U65" s="15">
        <f>Interims!T61</f>
        <v>51.326778338051177</v>
      </c>
      <c r="V65" s="15">
        <f>Interims!U61</f>
        <v>50.014878901908219</v>
      </c>
      <c r="W65" s="15">
        <f>Interims!V61</f>
        <v>49.06726496869851</v>
      </c>
      <c r="X65" s="15">
        <f>Interims!W61</f>
        <v>50.477081712562658</v>
      </c>
      <c r="Y65" s="15">
        <f>Interims!X61</f>
        <v>47.401294033561904</v>
      </c>
      <c r="Z65" s="15">
        <f>Interims!Y61</f>
        <v>46.509972158011998</v>
      </c>
      <c r="AA65" s="15">
        <f>Interims!Z61</f>
        <v>47.658273797616665</v>
      </c>
      <c r="AB65" s="15">
        <f>Interims!AA61</f>
        <v>49.637458432976857</v>
      </c>
      <c r="AC65" s="15">
        <f>(1+AC67)*Y65</f>
        <v>45.031229331883807</v>
      </c>
      <c r="AD65" s="15">
        <f>(1+AD67)*Z65</f>
        <v>44.184473550111399</v>
      </c>
      <c r="AE65" s="15">
        <f>(1+AE67)*AA65</f>
        <v>45.275360107735828</v>
      </c>
      <c r="AF65" s="15">
        <f>(1+AF67)*AB65</f>
        <v>47.155585511328013</v>
      </c>
    </row>
    <row r="66" spans="2:32">
      <c r="B66" t="s">
        <v>383</v>
      </c>
      <c r="C66" s="15">
        <f>Interims!C66</f>
        <v>118.18181818181817</v>
      </c>
      <c r="D66" s="15">
        <f>Interims!D66</f>
        <v>118.18181818181817</v>
      </c>
      <c r="E66" s="15">
        <f>Interims!E66</f>
        <v>118.18181818181817</v>
      </c>
      <c r="F66" s="15">
        <f>Interims!F66</f>
        <v>118.18181818181817</v>
      </c>
      <c r="G66" s="15">
        <f>Interims!G66</f>
        <v>118.18181818181817</v>
      </c>
      <c r="H66" s="15">
        <f>Interims!H66</f>
        <v>118.18181818181817</v>
      </c>
      <c r="I66" s="15">
        <f>Interims!I66</f>
        <v>118.18181818181817</v>
      </c>
      <c r="J66" s="15">
        <f>Interims!J66</f>
        <v>118.18181818181817</v>
      </c>
      <c r="K66" s="15"/>
      <c r="L66" s="15">
        <f>Interims!K66</f>
        <v>65</v>
      </c>
      <c r="M66" s="15">
        <f>Interims!L66</f>
        <v>65</v>
      </c>
      <c r="N66" s="15">
        <f>Interims!M66</f>
        <v>65</v>
      </c>
      <c r="O66" s="15">
        <f>Interims!N66</f>
        <v>65</v>
      </c>
      <c r="P66" s="15">
        <f>Interims!O66</f>
        <v>65</v>
      </c>
      <c r="Q66" s="15">
        <f>Interims!P66</f>
        <v>65</v>
      </c>
      <c r="R66" s="15">
        <f>Interims!Q66</f>
        <v>65</v>
      </c>
      <c r="S66" s="15">
        <f>Interims!R66</f>
        <v>65</v>
      </c>
      <c r="T66" s="15">
        <f>Interims!S66</f>
        <v>65</v>
      </c>
      <c r="U66" s="15">
        <f>Interims!T66</f>
        <v>65</v>
      </c>
      <c r="V66" s="15">
        <f>Interims!U66</f>
        <v>65</v>
      </c>
      <c r="W66" s="15">
        <f>Interims!V66</f>
        <v>65</v>
      </c>
      <c r="X66" s="15">
        <f>Interims!W66</f>
        <v>65</v>
      </c>
      <c r="Y66" s="15">
        <f>Interims!X66</f>
        <v>65</v>
      </c>
      <c r="Z66" s="15">
        <f>Interims!Y66</f>
        <v>65</v>
      </c>
      <c r="AA66" s="15">
        <f>Interims!Z66</f>
        <v>65</v>
      </c>
      <c r="AB66" s="15">
        <f>Interims!AA66</f>
        <v>65</v>
      </c>
      <c r="AC66" s="165">
        <f>AB66</f>
        <v>65</v>
      </c>
      <c r="AD66" s="165">
        <f>AC66</f>
        <v>65</v>
      </c>
      <c r="AE66" s="165">
        <f>AD66</f>
        <v>65</v>
      </c>
      <c r="AF66" s="165">
        <f>AE66*0.575</f>
        <v>37.375</v>
      </c>
    </row>
    <row r="67" spans="2:32">
      <c r="G67" s="57"/>
      <c r="H67" s="57"/>
      <c r="I67" s="57"/>
      <c r="J67" s="57"/>
      <c r="K67" s="57"/>
      <c r="L67" s="57"/>
      <c r="M67" s="57"/>
      <c r="N67" s="57">
        <f>N64/I64-1</f>
        <v>-0.18915718426128747</v>
      </c>
      <c r="O67" s="57">
        <f>O64/J64-1</f>
        <v>-0.26549748350773517</v>
      </c>
      <c r="P67" s="57">
        <f t="shared" ref="P67:AB67" si="13">P64/L64-1</f>
        <v>-0.21886226485610838</v>
      </c>
      <c r="Q67" s="57">
        <f t="shared" si="13"/>
        <v>-8.5938899224094256E-2</v>
      </c>
      <c r="R67" s="57">
        <f t="shared" si="13"/>
        <v>-0.13679483897411759</v>
      </c>
      <c r="S67" s="57">
        <f t="shared" si="13"/>
        <v>-7.2699374024737362E-2</v>
      </c>
      <c r="T67" s="57">
        <f t="shared" si="13"/>
        <v>-5.7641453242966878E-2</v>
      </c>
      <c r="U67" s="57">
        <f t="shared" si="13"/>
        <v>-0.12489574440051965</v>
      </c>
      <c r="V67" s="57">
        <f t="shared" si="13"/>
        <v>-5.8312008302681018E-2</v>
      </c>
      <c r="W67" s="57">
        <f t="shared" si="13"/>
        <v>-9.1841752432463397E-2</v>
      </c>
      <c r="X67" s="57">
        <f t="shared" si="13"/>
        <v>-4.5739642270686498E-2</v>
      </c>
      <c r="Y67" s="57">
        <f t="shared" si="13"/>
        <v>-5.6048327223485628E-2</v>
      </c>
      <c r="Z67" s="57">
        <f t="shared" si="13"/>
        <v>-5.0998566637725951E-2</v>
      </c>
      <c r="AA67" s="57">
        <f t="shared" si="13"/>
        <v>-2.0788332531913145E-2</v>
      </c>
      <c r="AB67" s="57">
        <f t="shared" si="13"/>
        <v>-1.2135424571216524E-2</v>
      </c>
      <c r="AC67" s="163">
        <v>-0.05</v>
      </c>
      <c r="AD67" s="163">
        <v>-0.05</v>
      </c>
      <c r="AE67" s="163">
        <v>-0.05</v>
      </c>
      <c r="AF67" s="163">
        <v>-0.05</v>
      </c>
    </row>
    <row r="68" spans="2:32">
      <c r="B68" t="s">
        <v>394</v>
      </c>
      <c r="G68" s="57">
        <f>Interims!G74</f>
        <v>6.5732019835266886E-2</v>
      </c>
      <c r="H68" s="57">
        <f>Interims!H74</f>
        <v>2.3257040872498358E-2</v>
      </c>
      <c r="I68" s="57">
        <f>Interims!I74</f>
        <v>1.4323375408501704E-2</v>
      </c>
      <c r="J68" s="57">
        <f>Interims!J74</f>
        <v>4.3537072227729068E-2</v>
      </c>
      <c r="K68" s="57"/>
      <c r="L68" s="57">
        <f>Interims!K74</f>
        <v>3.0086158558275677E-3</v>
      </c>
      <c r="M68" s="57">
        <f>Interims!L74</f>
        <v>-7.4292971230401017E-2</v>
      </c>
      <c r="N68" s="57">
        <f>Interims!M74</f>
        <v>-6.8922771043932407E-2</v>
      </c>
      <c r="O68" s="57">
        <f>Interims!N74</f>
        <v>-0.11928964645006901</v>
      </c>
      <c r="P68" s="57">
        <f>Interims!O74</f>
        <v>-2.7272836567361569E-2</v>
      </c>
      <c r="Q68" s="57">
        <f>Interims!P74</f>
        <v>0.13059967285774587</v>
      </c>
      <c r="R68" s="57">
        <f>Interims!Q74</f>
        <v>7.5999356809776542E-2</v>
      </c>
      <c r="S68" s="57">
        <f>Interims!R74</f>
        <v>0.14061326882053615</v>
      </c>
      <c r="T68" s="57">
        <f>Interims!S74</f>
        <v>0.12719149172841271</v>
      </c>
      <c r="U68" s="57">
        <f>Interims!T74</f>
        <v>7.3633303581325027E-2</v>
      </c>
      <c r="V68" s="57">
        <f>Interims!U74</f>
        <v>0.10777029248435355</v>
      </c>
      <c r="W68" s="57">
        <f>Interims!V74</f>
        <v>7.9500574652596301E-2</v>
      </c>
    </row>
    <row r="69" spans="2:32">
      <c r="B69" t="s">
        <v>395</v>
      </c>
      <c r="G69" s="57">
        <f>Interims!G35/Interims!C35-1</f>
        <v>0.16911764705882359</v>
      </c>
      <c r="H69" s="57">
        <f>Interims!H35/Interims!D35-1</f>
        <v>0.16176470588235303</v>
      </c>
      <c r="I69" s="57">
        <f>Interims!I35/Interims!E35-1</f>
        <v>0.15972222222222232</v>
      </c>
      <c r="J69" s="57">
        <f>Interims!J35/Interims!F35-1</f>
        <v>9.4339622641509413E-2</v>
      </c>
      <c r="K69" s="57"/>
      <c r="L69" s="57">
        <f>Interims!K35/Interims!G35-1</f>
        <v>6.9182389937106903E-2</v>
      </c>
      <c r="M69" s="57">
        <f>Interims!L35/Interims!H35-1</f>
        <v>8.2278481012658222E-2</v>
      </c>
      <c r="N69" s="57">
        <f>Interims!M35/Interims!I35-1</f>
        <v>6.5868263473053856E-2</v>
      </c>
      <c r="O69" s="57">
        <f>Interims!N35/Interims!J35-1</f>
        <v>8.6206896551724199E-2</v>
      </c>
      <c r="P69" s="57">
        <f>Interims!O35/Interims!K35-1</f>
        <v>0.12941176470588234</v>
      </c>
      <c r="Q69" s="57">
        <f>Interims!P35/Interims!L35-1</f>
        <v>9.3567251461988299E-2</v>
      </c>
      <c r="R69" s="57">
        <f>Interims!Q35/Interims!M35-1</f>
        <v>0.1179775280898876</v>
      </c>
      <c r="S69" s="57">
        <f>Interims!R35/Interims!N35-1</f>
        <v>7.4074074074074181E-2</v>
      </c>
      <c r="T69" s="57">
        <f>Interims!S35/Interims!O35-1</f>
        <v>1.0416666666666741E-2</v>
      </c>
      <c r="U69" s="57">
        <f>Interims!T35/Interims!P35-1</f>
        <v>2.673796791443861E-2</v>
      </c>
      <c r="V69" s="57">
        <f>Interims!U35/Interims!Q35-1</f>
        <v>-3.5175879396984966E-2</v>
      </c>
      <c r="W69" s="57">
        <f>Interims!V35/Interims!R35-1</f>
        <v>-1.9704433497536922E-2</v>
      </c>
    </row>
    <row r="71" spans="2:32">
      <c r="V71" t="str">
        <f>B66</f>
        <v>MTR rate</v>
      </c>
      <c r="W71" s="15">
        <f>W66</f>
        <v>65</v>
      </c>
    </row>
    <row r="72" spans="2:32">
      <c r="V72" t="str">
        <f>B64</f>
        <v>Voice yield per minute</v>
      </c>
      <c r="W72" s="15">
        <f>W64</f>
        <v>52.628491933542932</v>
      </c>
    </row>
    <row r="73" spans="2:32">
      <c r="V73" t="str">
        <f>B65</f>
        <v>Outbound price per minute</v>
      </c>
      <c r="W73" s="15">
        <f>W65</f>
        <v>49.06726496869851</v>
      </c>
    </row>
    <row r="123" spans="3:20">
      <c r="C123" t="s">
        <v>399</v>
      </c>
    </row>
    <row r="124" spans="3:20">
      <c r="D124" s="7" t="str">
        <f>Interims!G3</f>
        <v>Q1 08</v>
      </c>
      <c r="E124" s="7" t="str">
        <f>Interims!H3</f>
        <v>Q2 08</v>
      </c>
      <c r="F124" s="7" t="str">
        <f>Interims!I3</f>
        <v>Q3 08</v>
      </c>
      <c r="G124" s="7" t="str">
        <f>Interims!J3</f>
        <v>Q4 08</v>
      </c>
      <c r="H124" s="7" t="str">
        <f>Interims!K3</f>
        <v>Q1 09</v>
      </c>
      <c r="I124" s="7" t="str">
        <f>Interims!L3</f>
        <v>Q2 09</v>
      </c>
      <c r="J124" s="7" t="str">
        <f>Interims!M3</f>
        <v>Q3 09</v>
      </c>
      <c r="K124" s="7"/>
      <c r="L124" s="7" t="str">
        <f>Interims!N3</f>
        <v>Q4 09</v>
      </c>
      <c r="M124" s="7" t="str">
        <f>Interims!O3</f>
        <v>Q1 10</v>
      </c>
      <c r="N124" s="7" t="str">
        <f>Interims!P3</f>
        <v>Q2 10</v>
      </c>
      <c r="O124" s="7" t="str">
        <f>Interims!Q3</f>
        <v>Q3 10</v>
      </c>
      <c r="P124" s="7" t="str">
        <f>Interims!R3</f>
        <v>Q4 10</v>
      </c>
      <c r="Q124" s="7" t="str">
        <f>Interims!S3</f>
        <v>Q1 11</v>
      </c>
      <c r="R124" s="7" t="str">
        <f>Interims!T3</f>
        <v>Q2 11</v>
      </c>
      <c r="S124" s="7" t="str">
        <f>Interims!U3</f>
        <v>Q3 11</v>
      </c>
      <c r="T124" s="7" t="str">
        <f>Interims!V3</f>
        <v>Q4 11</v>
      </c>
    </row>
    <row r="125" spans="3:20">
      <c r="D125" s="7">
        <f>Interims!G71</f>
        <v>0</v>
      </c>
      <c r="E125" s="7">
        <f>Interims!H71</f>
        <v>0</v>
      </c>
      <c r="F125" s="7">
        <f>Interims!I71</f>
        <v>10607.727233787373</v>
      </c>
      <c r="G125" s="7">
        <f>Interims!J71</f>
        <v>11932.332095848802</v>
      </c>
      <c r="H125" s="7">
        <f>Interims!K71</f>
        <v>10506.197654941372</v>
      </c>
      <c r="I125" s="7">
        <f>Interims!L71</f>
        <v>9836.1363381545016</v>
      </c>
      <c r="J125" s="7">
        <f>Interims!M71</f>
        <v>9977.6471562215411</v>
      </c>
      <c r="K125" s="7"/>
      <c r="L125" s="7">
        <f>Interims!N71</f>
        <v>10404.090174574161</v>
      </c>
      <c r="M125" s="7">
        <f>Interims!O71</f>
        <v>9807.5459166730525</v>
      </c>
      <c r="N125" s="7">
        <f>Interims!P71</f>
        <v>10283.243620414672</v>
      </c>
      <c r="O125" s="7">
        <f>Interims!Q71</f>
        <v>9987.5770369291986</v>
      </c>
      <c r="P125" s="7">
        <f>Interims!R71</f>
        <v>10831.841344167471</v>
      </c>
      <c r="Q125" s="7">
        <f>Interims!S71</f>
        <v>9903.2837630149133</v>
      </c>
      <c r="R125" s="7">
        <f>Interims!T71</f>
        <v>9748.5144004803624</v>
      </c>
      <c r="S125" s="7">
        <f>Interims!U71</f>
        <v>9495.7929955851196</v>
      </c>
      <c r="T125" s="7">
        <f>Interims!V71</f>
        <v>9866.4939161784569</v>
      </c>
    </row>
    <row r="126" spans="3:20">
      <c r="C126" t="s">
        <v>388</v>
      </c>
    </row>
    <row r="127" spans="3:20">
      <c r="D127" s="7" t="str">
        <f t="shared" ref="D127:J127" si="14">D124</f>
        <v>Q1 08</v>
      </c>
      <c r="E127" s="7" t="str">
        <f t="shared" si="14"/>
        <v>Q2 08</v>
      </c>
      <c r="F127" s="7" t="str">
        <f t="shared" si="14"/>
        <v>Q3 08</v>
      </c>
      <c r="G127" s="7" t="str">
        <f t="shared" si="14"/>
        <v>Q4 08</v>
      </c>
      <c r="H127" s="7" t="str">
        <f t="shared" si="14"/>
        <v>Q1 09</v>
      </c>
      <c r="I127" s="7" t="str">
        <f t="shared" si="14"/>
        <v>Q2 09</v>
      </c>
      <c r="J127" s="7" t="str">
        <f t="shared" si="14"/>
        <v>Q3 09</v>
      </c>
      <c r="K127" s="7"/>
      <c r="L127" s="7" t="str">
        <f t="shared" ref="L127:T127" si="15">L124</f>
        <v>Q4 09</v>
      </c>
      <c r="M127" s="7" t="str">
        <f t="shared" si="15"/>
        <v>Q1 10</v>
      </c>
      <c r="N127" s="7" t="str">
        <f t="shared" si="15"/>
        <v>Q2 10</v>
      </c>
      <c r="O127" s="7" t="str">
        <f t="shared" si="15"/>
        <v>Q3 10</v>
      </c>
      <c r="P127" s="7" t="str">
        <f t="shared" si="15"/>
        <v>Q4 10</v>
      </c>
      <c r="Q127" s="7" t="str">
        <f t="shared" si="15"/>
        <v>Q1 11</v>
      </c>
      <c r="R127" s="7" t="str">
        <f t="shared" si="15"/>
        <v>Q2 11</v>
      </c>
      <c r="S127" s="7" t="str">
        <f t="shared" si="15"/>
        <v>Q3 11</v>
      </c>
      <c r="T127" s="7" t="str">
        <f t="shared" si="15"/>
        <v>Q4 11</v>
      </c>
    </row>
    <row r="128" spans="3:20">
      <c r="D128" s="57">
        <f>Interims!G57</f>
        <v>0</v>
      </c>
      <c r="E128" s="57">
        <f>Interims!H57</f>
        <v>0</v>
      </c>
      <c r="F128" s="57">
        <f>Interims!I57</f>
        <v>0</v>
      </c>
      <c r="G128" s="57">
        <f>Interims!J57</f>
        <v>0</v>
      </c>
      <c r="H128" s="57">
        <f>Interims!K57</f>
        <v>0</v>
      </c>
      <c r="I128" s="57">
        <f>Interims!L57</f>
        <v>0</v>
      </c>
      <c r="J128" s="57">
        <f>Interims!M57</f>
        <v>-0.18915718426128747</v>
      </c>
      <c r="K128" s="57"/>
      <c r="L128" s="57">
        <f>Interims!N57</f>
        <v>-0.26549748350773517</v>
      </c>
      <c r="M128" s="57">
        <f>Interims!O57</f>
        <v>-0.21886226485610838</v>
      </c>
      <c r="N128" s="57">
        <f>Interims!P57</f>
        <v>-8.5938899224094256E-2</v>
      </c>
      <c r="O128" s="57">
        <f>Interims!Q57</f>
        <v>-0.13679483897411759</v>
      </c>
      <c r="P128" s="57">
        <f>Interims!R57</f>
        <v>-7.2699374024737362E-2</v>
      </c>
      <c r="Q128" s="57">
        <f>Interims!S57</f>
        <v>-5.7641453242966878E-2</v>
      </c>
      <c r="R128" s="57">
        <f>Interims!T57</f>
        <v>-0.12489574440051965</v>
      </c>
      <c r="S128" s="57">
        <f>Interims!U57</f>
        <v>-5.8312008302681018E-2</v>
      </c>
      <c r="T128" s="57">
        <f>Interims!V57</f>
        <v>-9.1841752432463397E-2</v>
      </c>
    </row>
    <row r="130" spans="3:20">
      <c r="C130" t="s">
        <v>401</v>
      </c>
      <c r="D130" s="57">
        <f>Interims!G27</f>
        <v>8.7474416250357623E-2</v>
      </c>
      <c r="E130" s="57">
        <f>Interims!H27</f>
        <v>9.5810399748259625E-2</v>
      </c>
      <c r="F130" s="57">
        <f>Interims!I27</f>
        <v>0.10603578990641289</v>
      </c>
      <c r="G130" s="57">
        <f>Interims!J27</f>
        <v>0.10935674114884375</v>
      </c>
      <c r="H130" s="57">
        <f>Interims!K27</f>
        <v>0.12300560039253507</v>
      </c>
      <c r="I130" s="57">
        <f>Interims!L27</f>
        <v>0.14687129217906211</v>
      </c>
      <c r="J130" s="57">
        <f>Interims!M27</f>
        <v>0.15180856463067413</v>
      </c>
      <c r="K130" s="57"/>
      <c r="L130" s="57">
        <f>Interims!N27</f>
        <v>0.16091732456770733</v>
      </c>
      <c r="M130" s="57">
        <f>Interims!O27</f>
        <v>0.16742356846712669</v>
      </c>
      <c r="N130" s="57">
        <f>Interims!P27</f>
        <v>0.1831297741962562</v>
      </c>
      <c r="O130" s="57">
        <f>Interims!Q27</f>
        <v>0.19887375597426615</v>
      </c>
      <c r="P130" s="57">
        <f>Interims!R27</f>
        <v>0.20649037313408611</v>
      </c>
      <c r="Q130" s="57">
        <f>Interims!S27</f>
        <v>0.2157660007248062</v>
      </c>
      <c r="R130" s="57">
        <f>Interims!T27</f>
        <v>0.23377785847504462</v>
      </c>
      <c r="S130" s="57">
        <f>Interims!U27</f>
        <v>0.23977615436901534</v>
      </c>
      <c r="T130" s="57">
        <f>Interims!V27</f>
        <v>0.23146336913799737</v>
      </c>
    </row>
    <row r="131" spans="3:20">
      <c r="C131" t="s">
        <v>402</v>
      </c>
      <c r="D131" s="57"/>
      <c r="E131" s="57"/>
      <c r="F131" s="57"/>
      <c r="G131" s="57"/>
      <c r="H131" s="57"/>
      <c r="I131" s="162" t="e">
        <f>Interims!#REF!</f>
        <v>#REF!</v>
      </c>
      <c r="J131" s="162" t="e">
        <f>Interims!#REF!</f>
        <v>#REF!</v>
      </c>
      <c r="K131" s="162"/>
      <c r="L131" s="162" t="e">
        <f>Interims!#REF!</f>
        <v>#REF!</v>
      </c>
      <c r="M131" s="162" t="e">
        <f>Interims!#REF!</f>
        <v>#REF!</v>
      </c>
      <c r="N131" s="162" t="e">
        <f>Interims!#REF!</f>
        <v>#REF!</v>
      </c>
      <c r="O131" s="162" t="e">
        <f>Interims!#REF!</f>
        <v>#REF!</v>
      </c>
      <c r="P131" s="162" t="e">
        <f>Interims!#REF!</f>
        <v>#REF!</v>
      </c>
      <c r="Q131" s="162" t="e">
        <f>Interims!#REF!</f>
        <v>#REF!</v>
      </c>
      <c r="R131" s="162" t="e">
        <f>Interims!#REF!</f>
        <v>#REF!</v>
      </c>
      <c r="S131" s="162" t="e">
        <f>Interims!#REF!</f>
        <v>#REF!</v>
      </c>
      <c r="T131" s="162" t="e">
        <f>Interims!#REF!</f>
        <v>#REF!</v>
      </c>
    </row>
    <row r="165" spans="2:7">
      <c r="B165" s="142" t="s">
        <v>412</v>
      </c>
    </row>
    <row r="167" spans="2:7">
      <c r="B167" s="108" t="s">
        <v>229</v>
      </c>
      <c r="C167" s="108">
        <v>2012</v>
      </c>
      <c r="D167" s="108">
        <f>C167+1</f>
        <v>2013</v>
      </c>
      <c r="E167" s="108">
        <f>D167+1</f>
        <v>2014</v>
      </c>
      <c r="F167" s="108">
        <f>E167+1</f>
        <v>2015</v>
      </c>
      <c r="G167" s="108">
        <f>F167+1</f>
        <v>2016</v>
      </c>
    </row>
    <row r="168" spans="2:7">
      <c r="B168" t="s">
        <v>413</v>
      </c>
      <c r="C168" s="166">
        <v>1320581</v>
      </c>
      <c r="D168" s="166">
        <v>1415232</v>
      </c>
      <c r="E168" s="166">
        <v>1490724</v>
      </c>
      <c r="F168" s="166">
        <v>1504171</v>
      </c>
      <c r="G168" s="166"/>
    </row>
    <row r="169" spans="2:7">
      <c r="B169" t="s">
        <v>63</v>
      </c>
      <c r="C169" s="57">
        <f>C168/'Master old'!M221-1</f>
        <v>6.4199401248272503E-2</v>
      </c>
      <c r="D169" s="57">
        <f>D168/'Master old'!N221-1</f>
        <v>-1.7805686493329143E-2</v>
      </c>
      <c r="E169" s="57">
        <f>E168/'Master old'!O221-1</f>
        <v>-9.3194965722384726E-2</v>
      </c>
      <c r="F169" s="57">
        <f>F168/'Master old'!P221-1</f>
        <v>-9.6079872455985482E-2</v>
      </c>
      <c r="G169" s="166"/>
    </row>
    <row r="170" spans="2:7">
      <c r="B170" t="s">
        <v>4</v>
      </c>
      <c r="C170" s="166">
        <v>540944</v>
      </c>
      <c r="D170" s="166">
        <v>578534</v>
      </c>
      <c r="E170" s="166">
        <v>613218</v>
      </c>
      <c r="F170" s="166">
        <v>618238</v>
      </c>
      <c r="G170" s="166"/>
    </row>
    <row r="171" spans="2:7">
      <c r="B171" t="s">
        <v>5</v>
      </c>
      <c r="C171" s="162">
        <f>C170/C168</f>
        <v>0.40962576320574051</v>
      </c>
      <c r="D171" s="162">
        <f>D170/D168</f>
        <v>0.40879092615203727</v>
      </c>
      <c r="E171" s="162">
        <f>E170/E168</f>
        <v>0.41135582441820218</v>
      </c>
      <c r="F171" s="162">
        <f>F170/F168</f>
        <v>0.41101576881883778</v>
      </c>
      <c r="G171" s="57" t="e">
        <f>G170/G168</f>
        <v>#DIV/0!</v>
      </c>
    </row>
    <row r="173" spans="2:7">
      <c r="B173" t="s">
        <v>137</v>
      </c>
      <c r="C173" s="166"/>
      <c r="D173" s="166"/>
      <c r="E173" s="166"/>
      <c r="F173" s="166"/>
      <c r="G173" s="166"/>
    </row>
    <row r="174" spans="2:7">
      <c r="B174" t="s">
        <v>177</v>
      </c>
      <c r="C174" s="166">
        <f>C170-C173</f>
        <v>540944</v>
      </c>
      <c r="D174" s="166">
        <f>D170-D173</f>
        <v>578534</v>
      </c>
      <c r="E174" s="166">
        <f>E170-E173</f>
        <v>613218</v>
      </c>
      <c r="F174" s="166">
        <f>F170-F173</f>
        <v>618238</v>
      </c>
      <c r="G174" s="166">
        <f>G170-G173</f>
        <v>0</v>
      </c>
    </row>
    <row r="175" spans="2:7">
      <c r="B175" t="s">
        <v>5</v>
      </c>
      <c r="C175" s="57">
        <f>C174/C168</f>
        <v>0.40962576320574051</v>
      </c>
      <c r="D175" s="57">
        <f>D174/D168</f>
        <v>0.40879092615203727</v>
      </c>
      <c r="E175" s="57">
        <f>E174/E168</f>
        <v>0.41135582441820218</v>
      </c>
      <c r="F175" s="57">
        <f>F174/F168</f>
        <v>0.41101576881883778</v>
      </c>
      <c r="G175" s="57" t="e">
        <f>G174/G168</f>
        <v>#DIV/0!</v>
      </c>
    </row>
    <row r="177" spans="2:8">
      <c r="B177" s="108" t="s">
        <v>229</v>
      </c>
      <c r="C177" s="108">
        <v>2012</v>
      </c>
      <c r="D177" s="108">
        <f>C177+1</f>
        <v>2013</v>
      </c>
      <c r="E177" s="108">
        <f>D177+1</f>
        <v>2014</v>
      </c>
      <c r="F177" s="108">
        <f>E177+1</f>
        <v>2015</v>
      </c>
      <c r="G177" s="108">
        <f>F177+1</f>
        <v>2016</v>
      </c>
    </row>
    <row r="178" spans="2:8">
      <c r="B178" t="s">
        <v>413</v>
      </c>
      <c r="C178" s="166">
        <f>'Master old'!N221</f>
        <v>1440888</v>
      </c>
      <c r="D178" s="166">
        <f>'Master old'!O221</f>
        <v>1643930</v>
      </c>
      <c r="E178" s="166">
        <f>'Master old'!P221</f>
        <v>1664053</v>
      </c>
      <c r="F178" s="166">
        <f>'Master old'!Q221</f>
        <v>1792864</v>
      </c>
      <c r="G178" s="166">
        <f>'Master old'!R221</f>
        <v>1876002</v>
      </c>
    </row>
    <row r="179" spans="2:8">
      <c r="C179" s="57">
        <f>C178/'Master old'!M221-1</f>
        <v>0.16114963555118611</v>
      </c>
      <c r="D179" s="57">
        <f>D178/'Master old'!N221-1</f>
        <v>0.14091449161905722</v>
      </c>
      <c r="E179" s="57">
        <f>E178/'Master old'!O221-1</f>
        <v>1.2240788841374028E-2</v>
      </c>
      <c r="F179" s="57">
        <f>F178/'Master old'!P221-1</f>
        <v>7.7407991211818405E-2</v>
      </c>
      <c r="G179" s="166"/>
    </row>
    <row r="180" spans="2:8">
      <c r="B180" t="s">
        <v>4</v>
      </c>
      <c r="C180" s="166">
        <f>'Master old'!N233</f>
        <v>542625</v>
      </c>
      <c r="D180" s="166">
        <f>'Master old'!O233</f>
        <v>461938</v>
      </c>
      <c r="E180" s="166">
        <f>'Master old'!P233</f>
        <v>366150</v>
      </c>
      <c r="F180" s="166">
        <f>'Master old'!Q233</f>
        <v>364786</v>
      </c>
      <c r="G180" s="166">
        <f>'Master old'!R233</f>
        <v>416281</v>
      </c>
    </row>
    <row r="181" spans="2:8">
      <c r="B181" t="s">
        <v>5</v>
      </c>
      <c r="C181" s="57">
        <f>C180/C178</f>
        <v>0.37659068574379134</v>
      </c>
      <c r="D181" s="57">
        <f>D180/D178</f>
        <v>0.28099614947108453</v>
      </c>
      <c r="E181" s="57">
        <f>E180/E178</f>
        <v>0.22003505897949163</v>
      </c>
      <c r="F181" s="57">
        <f>F180/F178</f>
        <v>0.2034655166259125</v>
      </c>
      <c r="G181" s="57">
        <f>G180/G178</f>
        <v>0.22189795106828245</v>
      </c>
    </row>
    <row r="183" spans="2:8">
      <c r="B183" t="s">
        <v>137</v>
      </c>
      <c r="C183" s="166">
        <f>'Master old'!N255</f>
        <v>380925</v>
      </c>
      <c r="D183" s="166">
        <f>'Master old'!O255</f>
        <v>366125.52045454551</v>
      </c>
      <c r="E183" s="166">
        <f>'Master old'!P255</f>
        <v>513920</v>
      </c>
      <c r="F183" s="166">
        <f>'Master old'!Q255</f>
        <v>433263</v>
      </c>
      <c r="G183" s="166">
        <f>'Master old'!R255</f>
        <v>360499</v>
      </c>
    </row>
    <row r="184" spans="2:8">
      <c r="B184" t="s">
        <v>177</v>
      </c>
      <c r="C184" s="166">
        <f>C180-C183</f>
        <v>161700</v>
      </c>
      <c r="D184" s="166">
        <f>D180-D183</f>
        <v>95812.479545454495</v>
      </c>
      <c r="E184" s="166">
        <f>E180-E183</f>
        <v>-147770</v>
      </c>
      <c r="F184" s="166">
        <f>F180-F183</f>
        <v>-68477</v>
      </c>
      <c r="G184" s="166">
        <f>G180-G183</f>
        <v>55782</v>
      </c>
    </row>
    <row r="185" spans="2:8">
      <c r="B185" t="s">
        <v>5</v>
      </c>
      <c r="C185" s="57">
        <f>C184/C178</f>
        <v>0.11222246281459766</v>
      </c>
      <c r="D185" s="57">
        <f>D184/D178</f>
        <v>5.8282578665426445E-2</v>
      </c>
      <c r="E185" s="57">
        <f>E184/E178</f>
        <v>-8.8801258133004171E-2</v>
      </c>
      <c r="F185" s="57">
        <f>F184/F178</f>
        <v>-3.8194196548092883E-2</v>
      </c>
      <c r="G185" s="57">
        <f>G184/G178</f>
        <v>2.9734509877921238E-2</v>
      </c>
    </row>
    <row r="188" spans="2:8">
      <c r="C188">
        <f>D188-1</f>
        <v>2010</v>
      </c>
      <c r="D188">
        <v>2011</v>
      </c>
      <c r="E188">
        <f>D188+1</f>
        <v>2012</v>
      </c>
      <c r="F188">
        <f>E188+1</f>
        <v>2013</v>
      </c>
      <c r="G188">
        <f>F188+1</f>
        <v>2014</v>
      </c>
      <c r="H188">
        <f>G188+1</f>
        <v>2015</v>
      </c>
    </row>
    <row r="189" spans="2:8">
      <c r="B189" t="s">
        <v>414</v>
      </c>
      <c r="C189" s="57">
        <f>'Master old'!L222</f>
        <v>9.2638671480318679E-2</v>
      </c>
      <c r="D189" s="57">
        <f>'Master old'!M222</f>
        <v>0.14178941053499394</v>
      </c>
      <c r="E189" s="57">
        <f>C169</f>
        <v>6.4199401248272503E-2</v>
      </c>
      <c r="F189" s="57">
        <f>D169</f>
        <v>-1.7805686493329143E-2</v>
      </c>
      <c r="G189" s="57">
        <f>E169</f>
        <v>-9.3194965722384726E-2</v>
      </c>
      <c r="H189" s="57">
        <f>F169</f>
        <v>-9.6079872455985482E-2</v>
      </c>
    </row>
    <row r="190" spans="2:8">
      <c r="B190" t="s">
        <v>418</v>
      </c>
      <c r="C190" s="57">
        <f>C189</f>
        <v>9.2638671480318679E-2</v>
      </c>
      <c r="D190" s="57">
        <f>D189</f>
        <v>0.14178941053499394</v>
      </c>
      <c r="E190" s="57">
        <f>C179</f>
        <v>0.16114963555118611</v>
      </c>
      <c r="F190" s="57">
        <f>D179</f>
        <v>0.14091449161905722</v>
      </c>
      <c r="G190" s="57">
        <f>E179</f>
        <v>1.2240788841374028E-2</v>
      </c>
      <c r="H190" s="57">
        <f>F179</f>
        <v>7.7407991211818405E-2</v>
      </c>
    </row>
    <row r="192" spans="2:8">
      <c r="B192" t="s">
        <v>417</v>
      </c>
      <c r="C192">
        <f t="shared" ref="C192:H192" si="16">C188</f>
        <v>2010</v>
      </c>
      <c r="D192">
        <f t="shared" si="16"/>
        <v>2011</v>
      </c>
      <c r="E192">
        <f t="shared" si="16"/>
        <v>2012</v>
      </c>
      <c r="F192">
        <f t="shared" si="16"/>
        <v>2013</v>
      </c>
      <c r="G192">
        <f t="shared" si="16"/>
        <v>2014</v>
      </c>
      <c r="H192">
        <f t="shared" si="16"/>
        <v>2015</v>
      </c>
    </row>
    <row r="193" spans="2:8">
      <c r="B193" t="s">
        <v>415</v>
      </c>
      <c r="C193" s="57">
        <f>'Master old'!L233/'Master old'!K233-1</f>
        <v>0.11229625421693346</v>
      </c>
      <c r="D193" s="57">
        <f>'Master old'!M233/'Master old'!L233-1</f>
        <v>0.15404465211713392</v>
      </c>
      <c r="E193" s="57">
        <f>C170/'Master old'!M233-1</f>
        <v>4.99709820865335E-2</v>
      </c>
      <c r="F193" s="57">
        <f>D170/'Master old'!N233-1</f>
        <v>6.617645703754893E-2</v>
      </c>
      <c r="G193" s="57">
        <f>E170/'Master old'!O233-1</f>
        <v>0.3274898362983778</v>
      </c>
      <c r="H193" s="57">
        <f>F170/'Master old'!P233-1</f>
        <v>0.68848286221493926</v>
      </c>
    </row>
    <row r="194" spans="2:8">
      <c r="B194" t="s">
        <v>416</v>
      </c>
      <c r="C194" s="57">
        <f>C193</f>
        <v>0.11229625421693346</v>
      </c>
      <c r="D194" s="57">
        <f>D193</f>
        <v>0.15404465211713392</v>
      </c>
      <c r="E194" s="57">
        <f>C180/'Master old'!M233-1</f>
        <v>5.3233798978647107E-2</v>
      </c>
      <c r="F194" s="57">
        <f>D180/'Master old'!N233-1</f>
        <v>-0.14869753513015438</v>
      </c>
      <c r="G194" s="57">
        <f>E180/'Master old'!O233-1</f>
        <v>-0.20736116102160895</v>
      </c>
      <c r="H194" s="57">
        <f>F180/'Master old'!P233-1</f>
        <v>-3.7252492148026617E-3</v>
      </c>
    </row>
    <row r="198" spans="2:8">
      <c r="B198" s="148"/>
      <c r="C198">
        <v>2011</v>
      </c>
      <c r="D198">
        <v>2010</v>
      </c>
    </row>
    <row r="199" spans="2:8">
      <c r="C199" s="178" t="s">
        <v>425</v>
      </c>
      <c r="D199" s="178" t="s">
        <v>426</v>
      </c>
      <c r="E199" s="178" t="s">
        <v>428</v>
      </c>
    </row>
    <row r="200" spans="2:8">
      <c r="B200" t="s">
        <v>374</v>
      </c>
      <c r="C200" s="162">
        <f ca="1">'Master old'!M238</f>
        <v>0.40999721736323963</v>
      </c>
      <c r="D200" s="162">
        <f>'Master old'!M243</f>
        <v>0.41517670428675613</v>
      </c>
      <c r="E200" s="162">
        <v>0.48</v>
      </c>
    </row>
    <row r="201" spans="2:8">
      <c r="C201" s="162"/>
      <c r="D201" s="162"/>
    </row>
    <row r="202" spans="2:8">
      <c r="B202" t="s">
        <v>424</v>
      </c>
      <c r="C202" s="162">
        <f>'Master old'!M123</f>
        <v>0.13651195951603701</v>
      </c>
      <c r="D202" s="162">
        <f>'Master old'!M252</f>
        <v>0.19832139993472558</v>
      </c>
      <c r="E202" s="162">
        <v>0.23</v>
      </c>
    </row>
    <row r="203" spans="2:8">
      <c r="C203" s="162"/>
      <c r="D203" s="162"/>
    </row>
    <row r="204" spans="2:8">
      <c r="B204" t="s">
        <v>420</v>
      </c>
      <c r="C204" s="162">
        <f>'Master old'!M124/'Master old'!M112</f>
        <v>0.1135941652609735</v>
      </c>
      <c r="D204" s="162">
        <f>'Master old'!M254/'Master old'!M221</f>
        <v>9.0518689837740696E-2</v>
      </c>
      <c r="E204" s="162">
        <v>0</v>
      </c>
    </row>
    <row r="206" spans="2:8">
      <c r="B206" t="s">
        <v>427</v>
      </c>
      <c r="C206" s="162">
        <f ca="1">C200-C202-C204</f>
        <v>0.15989109258622913</v>
      </c>
      <c r="D206" s="162">
        <f>D200-D202-D204</f>
        <v>0.12633661451428985</v>
      </c>
      <c r="E206" s="162">
        <f>E200-E202-E204</f>
        <v>0.24999999999999997</v>
      </c>
    </row>
    <row r="209" spans="2:13">
      <c r="B209" s="108"/>
      <c r="C209" s="108">
        <f>'Master old'!K214</f>
        <v>2009</v>
      </c>
      <c r="D209" s="108">
        <f>'Master old'!L214</f>
        <v>2010</v>
      </c>
      <c r="E209" s="108">
        <f>'Master old'!M214</f>
        <v>2011</v>
      </c>
      <c r="F209" s="108">
        <f>'Master old'!N214</f>
        <v>2012</v>
      </c>
      <c r="G209" s="108">
        <f>'Master old'!O214</f>
        <v>2013</v>
      </c>
      <c r="H209" s="108">
        <f>'Master old'!P214</f>
        <v>2014</v>
      </c>
      <c r="I209" s="108">
        <f>'Master old'!Q214</f>
        <v>2015</v>
      </c>
      <c r="J209" s="108">
        <f>'Master old'!R214</f>
        <v>2016</v>
      </c>
      <c r="K209" s="108"/>
      <c r="L209" s="108">
        <f>'Master old'!S214</f>
        <v>2017</v>
      </c>
      <c r="M209" s="108">
        <f>'Master old'!T214</f>
        <v>2018</v>
      </c>
    </row>
    <row r="210" spans="2:13">
      <c r="B210" t="s">
        <v>429</v>
      </c>
      <c r="C210" s="57">
        <f>'Master old'!K252</f>
        <v>0.18902330519337548</v>
      </c>
      <c r="D210" s="57">
        <f>'Master old'!L252</f>
        <v>0.18436975532196803</v>
      </c>
      <c r="E210" s="57">
        <f>'Master old'!M252</f>
        <v>0.19832139993472558</v>
      </c>
      <c r="F210" s="57">
        <f>'Master old'!N252</f>
        <v>0.17575689435958936</v>
      </c>
      <c r="G210" s="57">
        <f>'Master old'!O252</f>
        <v>0.2227135708056581</v>
      </c>
      <c r="H210" s="57">
        <f>'Master old'!P252</f>
        <v>0.30883631711249582</v>
      </c>
      <c r="I210" s="57">
        <f>'Master old'!Q252</f>
        <v>0.24165971317400539</v>
      </c>
      <c r="J210" s="57">
        <f>'Master old'!R252</f>
        <v>0.19216344119036122</v>
      </c>
      <c r="K210" s="57"/>
      <c r="L210" s="57">
        <f>'Master old'!S252</f>
        <v>0.19794237841210738</v>
      </c>
      <c r="M210" s="57">
        <f>'Master old'!T252</f>
        <v>0.22314004766287657</v>
      </c>
    </row>
    <row r="211" spans="2:13">
      <c r="B211" t="s">
        <v>430</v>
      </c>
      <c r="C211" s="57">
        <f>'Master old'!K256-'Master old'!K252</f>
        <v>7.3402160111232767E-2</v>
      </c>
      <c r="D211" s="57">
        <f>'Master old'!L256-'Master old'!L252</f>
        <v>8.3146549185878715E-2</v>
      </c>
      <c r="E211" s="57">
        <f>'Master old'!M256-'Master old'!M252</f>
        <v>9.0518689837740696E-2</v>
      </c>
      <c r="F211" s="57">
        <f>'Master old'!N256-'Master old'!N252</f>
        <v>8.8611328569604297E-2</v>
      </c>
      <c r="G211" s="57">
        <f>'Master old'!O256-'Master old'!O252</f>
        <v>0</v>
      </c>
      <c r="H211" s="57">
        <f>'Master old'!P256-'Master old'!P252</f>
        <v>0</v>
      </c>
      <c r="I211" s="57">
        <f>'Master old'!Q256-'Master old'!Q252</f>
        <v>0</v>
      </c>
      <c r="J211" s="57">
        <f>'Master old'!R256-'Master old'!R252</f>
        <v>0</v>
      </c>
      <c r="K211" s="57"/>
      <c r="L211" s="57">
        <f>'Master old'!S256-'Master old'!S252</f>
        <v>0</v>
      </c>
      <c r="M211" s="57">
        <f>'Master old'!T256-'Master old'!T252</f>
        <v>0</v>
      </c>
    </row>
    <row r="212" spans="2:13">
      <c r="B212" t="s">
        <v>427</v>
      </c>
      <c r="C212" s="57">
        <f>'Master old'!K282</f>
        <v>0.53155038643804287</v>
      </c>
      <c r="D212" s="57">
        <f>'Master old'!L282</f>
        <v>0.55115819088813678</v>
      </c>
      <c r="E212" s="57">
        <f>'Master old'!M282</f>
        <v>0.52232050139848873</v>
      </c>
      <c r="F212" s="57">
        <f>'Master old'!N282</f>
        <v>0.5332946325731398</v>
      </c>
      <c r="G212" s="57">
        <f>'Master old'!O282</f>
        <v>0.20741415416236486</v>
      </c>
      <c r="H212" s="57">
        <f>'Master old'!P282</f>
        <v>-0.40357776867404072</v>
      </c>
      <c r="I212" s="57">
        <f>'Master old'!Q282</f>
        <v>-0.18771827866201005</v>
      </c>
      <c r="J212" s="57">
        <f>'Master old'!R282</f>
        <v>0.13400083116933034</v>
      </c>
      <c r="K212" s="57"/>
      <c r="L212" s="57">
        <f>'Master old'!S282</f>
        <v>0.12063539671395106</v>
      </c>
      <c r="M212" s="57">
        <f>'Master old'!T282</f>
        <v>-1.1946004061641381E-2</v>
      </c>
    </row>
    <row r="214" spans="2:13">
      <c r="C214">
        <f>Valuation!F3</f>
        <v>2010</v>
      </c>
      <c r="D214">
        <f>Valuation!G3</f>
        <v>2011</v>
      </c>
      <c r="E214">
        <f>Valuation!H3</f>
        <v>2012</v>
      </c>
      <c r="F214">
        <f>Valuation!I3</f>
        <v>2013</v>
      </c>
      <c r="G214">
        <f>Valuation!J3</f>
        <v>2014</v>
      </c>
      <c r="H214">
        <f>Valuation!K3</f>
        <v>2015</v>
      </c>
      <c r="I214">
        <f>Valuation!L3</f>
        <v>2016</v>
      </c>
      <c r="J214">
        <f>Valuation!M3</f>
        <v>2017</v>
      </c>
      <c r="L214">
        <f>Valuation!N3</f>
        <v>2018</v>
      </c>
    </row>
    <row r="215" spans="2:13">
      <c r="B215" t="s">
        <v>601</v>
      </c>
      <c r="C215" s="162">
        <f>Valuation!F48</f>
        <v>0.18325224709309562</v>
      </c>
      <c r="D215" s="162">
        <f>Valuation!G48</f>
        <v>0.17973648227146988</v>
      </c>
      <c r="E215" s="162">
        <f>Valuation!H48</f>
        <v>0.16004421789596512</v>
      </c>
      <c r="F215" s="162">
        <f>Valuation!I48</f>
        <v>0.10879771236293052</v>
      </c>
      <c r="G215" s="162">
        <f>Valuation!J48</f>
        <v>7.0542683127882172E-2</v>
      </c>
      <c r="H215" s="162">
        <f>Valuation!K48</f>
        <v>4.5800685492213992E-2</v>
      </c>
      <c r="I215" s="162">
        <f>Valuation!L48</f>
        <v>5.402712927147936E-2</v>
      </c>
      <c r="J215" s="162">
        <f>Valuation!M48</f>
        <v>5.0200595035207615E-2</v>
      </c>
      <c r="K215" s="162"/>
      <c r="L215" s="162">
        <f>Valuation!N48</f>
        <v>2.3155034453469094E-2</v>
      </c>
    </row>
    <row r="216" spans="2:13">
      <c r="B216" t="s">
        <v>602</v>
      </c>
      <c r="D216" s="162">
        <v>0.1757134228181878</v>
      </c>
      <c r="E216" s="162">
        <v>0.17432999490440634</v>
      </c>
      <c r="F216" s="162">
        <v>0.159951847830866</v>
      </c>
      <c r="G216" s="162">
        <v>0.1612372499016034</v>
      </c>
      <c r="H216" s="162">
        <v>0.16448177085941917</v>
      </c>
      <c r="I216" s="162">
        <v>0.16567813468429726</v>
      </c>
      <c r="J216" s="162">
        <v>0.16764679837202762</v>
      </c>
      <c r="K216" s="162"/>
      <c r="L216" s="162">
        <v>0.17665390900497388</v>
      </c>
    </row>
    <row r="217" spans="2:13">
      <c r="B217" t="s">
        <v>666</v>
      </c>
      <c r="D217" s="162">
        <f>'Master old'!$O$372</f>
        <v>8.3539999999999989E-2</v>
      </c>
      <c r="E217" s="162">
        <f>'Master old'!$O$372</f>
        <v>8.3539999999999989E-2</v>
      </c>
      <c r="F217" s="162">
        <f>'Master old'!$O$372</f>
        <v>8.3539999999999989E-2</v>
      </c>
      <c r="G217" s="162">
        <f>'Master old'!$O$372</f>
        <v>8.3539999999999989E-2</v>
      </c>
      <c r="H217" s="162">
        <f>'Master old'!$O$372</f>
        <v>8.3539999999999989E-2</v>
      </c>
      <c r="I217" s="162">
        <f>'Master old'!$O$372</f>
        <v>8.3539999999999989E-2</v>
      </c>
      <c r="J217" s="162">
        <f>'Master old'!$O$372</f>
        <v>8.3539999999999989E-2</v>
      </c>
      <c r="K217" s="162"/>
      <c r="L217" s="162">
        <f>'Master old'!$O$372</f>
        <v>8.3539999999999989E-2</v>
      </c>
    </row>
    <row r="236" spans="2:11">
      <c r="C236" s="178" t="str">
        <f>Interims!O3</f>
        <v>Q1 10</v>
      </c>
      <c r="D236" s="178" t="str">
        <f>Interims!P3</f>
        <v>Q2 10</v>
      </c>
      <c r="E236" s="178" t="str">
        <f>Interims!Q3</f>
        <v>Q3 10</v>
      </c>
      <c r="F236" s="178" t="str">
        <f>Interims!R3</f>
        <v>Q4 10</v>
      </c>
      <c r="G236" s="178" t="str">
        <f>Interims!S3</f>
        <v>Q1 11</v>
      </c>
      <c r="H236" s="178" t="str">
        <f>Interims!T3</f>
        <v>Q2 11</v>
      </c>
      <c r="I236" s="178" t="str">
        <f>Interims!U3</f>
        <v>Q3 11</v>
      </c>
      <c r="J236" s="178" t="str">
        <f>Interims!V3</f>
        <v>Q4 11</v>
      </c>
      <c r="K236" s="178"/>
    </row>
    <row r="237" spans="2:11">
      <c r="B237" t="s">
        <v>597</v>
      </c>
      <c r="C237" s="162">
        <f>Interims!O89</f>
        <v>0.39624312385397564</v>
      </c>
      <c r="D237" s="162">
        <f>Interims!P89</f>
        <v>0.39044120141719535</v>
      </c>
      <c r="E237" s="162">
        <f>Interims!Q89</f>
        <v>0.43141865956640463</v>
      </c>
      <c r="F237" s="162">
        <f>Interims!R89</f>
        <v>0.37654587836406017</v>
      </c>
      <c r="G237" s="162">
        <f>Interims!S89</f>
        <v>0.45309091544954994</v>
      </c>
      <c r="H237" s="162">
        <f>Interims!T89</f>
        <v>0.43741610453162966</v>
      </c>
      <c r="I237" s="162">
        <f>Interims!U89</f>
        <v>0.43365676900688432</v>
      </c>
      <c r="J237" s="162">
        <f ca="1">Interims!V89</f>
        <v>0.3263107812351318</v>
      </c>
      <c r="K237" s="162"/>
    </row>
    <row r="238" spans="2:11">
      <c r="B238" t="s">
        <v>598</v>
      </c>
      <c r="C238" s="162">
        <f>Interims!O156</f>
        <v>0</v>
      </c>
      <c r="D238" s="162">
        <f>Interims!P156</f>
        <v>0</v>
      </c>
      <c r="E238" s="162">
        <f>Interims!Q156</f>
        <v>0</v>
      </c>
      <c r="F238" s="162">
        <f>Interims!R156</f>
        <v>0</v>
      </c>
      <c r="G238" s="162">
        <f>Interims!S156</f>
        <v>0</v>
      </c>
      <c r="H238" s="162">
        <f>Interims!T156</f>
        <v>0</v>
      </c>
      <c r="I238" s="162">
        <f>Interims!U156</f>
        <v>0</v>
      </c>
      <c r="J238" s="162">
        <f>Interims!V156</f>
        <v>0</v>
      </c>
      <c r="K238" s="162"/>
    </row>
    <row r="240" spans="2:11">
      <c r="G240">
        <f>G255/G242-1</f>
        <v>0.21474634979500973</v>
      </c>
    </row>
    <row r="241" spans="2:12">
      <c r="B241" s="108" t="s">
        <v>602</v>
      </c>
      <c r="C241" s="108">
        <v>2012</v>
      </c>
      <c r="D241" s="108">
        <f t="shared" ref="D241:I241" si="17">C241+1</f>
        <v>2013</v>
      </c>
      <c r="E241" s="108">
        <f t="shared" si="17"/>
        <v>2014</v>
      </c>
      <c r="F241" s="108">
        <f t="shared" si="17"/>
        <v>2015</v>
      </c>
      <c r="G241" s="108">
        <f t="shared" si="17"/>
        <v>2016</v>
      </c>
      <c r="H241" s="108">
        <f t="shared" si="17"/>
        <v>2017</v>
      </c>
      <c r="I241" s="108">
        <f t="shared" si="17"/>
        <v>2018</v>
      </c>
    </row>
    <row r="242" spans="2:12">
      <c r="B242" t="s">
        <v>607</v>
      </c>
      <c r="C242" s="166">
        <v>1352519.7886100356</v>
      </c>
      <c r="D242" s="166">
        <v>1410781.6188849667</v>
      </c>
      <c r="E242" s="166">
        <v>1453433.7206926825</v>
      </c>
      <c r="F242" s="166">
        <v>1500526.7990870548</v>
      </c>
      <c r="G242" s="166">
        <v>1544356.9765133092</v>
      </c>
      <c r="H242" s="166">
        <v>1588661.3914477206</v>
      </c>
      <c r="I242" s="166">
        <v>1633523.4209033952</v>
      </c>
    </row>
    <row r="243" spans="2:12">
      <c r="B243" t="s">
        <v>612</v>
      </c>
      <c r="C243" s="57">
        <f>C242/'Master old'!M221-1</f>
        <v>8.9937496613414769E-2</v>
      </c>
      <c r="D243" s="57">
        <f t="shared" ref="D243:I243" si="18">D242/C242-1</f>
        <v>4.3076508577228223E-2</v>
      </c>
      <c r="E243" s="57">
        <f t="shared" si="18"/>
        <v>3.0232958267082166E-2</v>
      </c>
      <c r="F243" s="57">
        <f t="shared" si="18"/>
        <v>3.2401256227857722E-2</v>
      </c>
      <c r="G243" s="57">
        <f t="shared" si="18"/>
        <v>2.9209859799186111E-2</v>
      </c>
      <c r="H243" s="57">
        <f t="shared" si="18"/>
        <v>2.8687936538116521E-2</v>
      </c>
      <c r="I243" s="57">
        <f t="shared" si="18"/>
        <v>2.8238886963062981E-2</v>
      </c>
    </row>
    <row r="244" spans="2:12">
      <c r="B244" t="s">
        <v>4</v>
      </c>
      <c r="C244" s="166">
        <v>539802.23092959728</v>
      </c>
      <c r="D244" s="166">
        <v>561173.61303459993</v>
      </c>
      <c r="E244" s="166">
        <v>579995.98083944956</v>
      </c>
      <c r="F244" s="166">
        <v>591457.96677727823</v>
      </c>
      <c r="G244" s="166">
        <v>601119.11269383237</v>
      </c>
      <c r="H244" s="166">
        <v>610447.49741540197</v>
      </c>
      <c r="I244" s="166">
        <v>619470.4117612046</v>
      </c>
    </row>
    <row r="245" spans="2:12">
      <c r="B245" t="s">
        <v>5</v>
      </c>
      <c r="C245" s="162">
        <f t="shared" ref="C245:I245" si="19">C244/C242</f>
        <v>0.3991085642335363</v>
      </c>
      <c r="D245" s="162">
        <f t="shared" si="19"/>
        <v>0.39777496780694682</v>
      </c>
      <c r="E245" s="162">
        <f t="shared" si="19"/>
        <v>0.39905223924695588</v>
      </c>
      <c r="F245" s="162">
        <f t="shared" si="19"/>
        <v>0.39416688001649219</v>
      </c>
      <c r="G245" s="162">
        <f t="shared" si="19"/>
        <v>0.38923585792384446</v>
      </c>
      <c r="H245" s="162">
        <f t="shared" si="19"/>
        <v>0.38425274303362489</v>
      </c>
      <c r="I245" s="162">
        <f t="shared" si="19"/>
        <v>0.37922346495565762</v>
      </c>
    </row>
    <row r="246" spans="2:12">
      <c r="B246" t="s">
        <v>608</v>
      </c>
      <c r="C246" s="166">
        <v>249823.60422122118</v>
      </c>
      <c r="D246" s="166">
        <v>249823.60422122118</v>
      </c>
      <c r="E246" s="166">
        <v>249823.60422122118</v>
      </c>
      <c r="F246" s="166">
        <v>249823.60422122118</v>
      </c>
      <c r="G246" s="166">
        <v>249823.60422122118</v>
      </c>
      <c r="H246" s="166">
        <v>249823.60422122118</v>
      </c>
      <c r="I246" s="166">
        <v>249823.60422122118</v>
      </c>
    </row>
    <row r="247" spans="2:12">
      <c r="B247" t="s">
        <v>609</v>
      </c>
      <c r="C247" s="166">
        <v>117942.3</v>
      </c>
      <c r="D247" s="166">
        <v>117942.3</v>
      </c>
      <c r="E247" s="166">
        <v>117942.3</v>
      </c>
      <c r="F247" s="166">
        <v>117942.3</v>
      </c>
      <c r="G247" s="166">
        <v>117942.3</v>
      </c>
      <c r="H247" s="166">
        <v>117942.3</v>
      </c>
      <c r="I247" s="166">
        <v>117942.3</v>
      </c>
    </row>
    <row r="248" spans="2:12">
      <c r="B248" t="s">
        <v>610</v>
      </c>
      <c r="C248" s="166">
        <f t="shared" ref="C248:I248" si="20">C246+C247</f>
        <v>367765.90422122116</v>
      </c>
      <c r="D248" s="166">
        <f t="shared" si="20"/>
        <v>367765.90422122116</v>
      </c>
      <c r="E248" s="166">
        <f t="shared" si="20"/>
        <v>367765.90422122116</v>
      </c>
      <c r="F248" s="166">
        <f t="shared" si="20"/>
        <v>367765.90422122116</v>
      </c>
      <c r="G248" s="166">
        <f t="shared" si="20"/>
        <v>367765.90422122116</v>
      </c>
      <c r="H248" s="166">
        <f t="shared" si="20"/>
        <v>367765.90422122116</v>
      </c>
      <c r="I248" s="166">
        <f t="shared" si="20"/>
        <v>367765.90422122116</v>
      </c>
    </row>
    <row r="249" spans="2:12">
      <c r="B249" t="s">
        <v>611</v>
      </c>
      <c r="C249" s="166"/>
      <c r="D249" s="166"/>
      <c r="E249" s="245">
        <v>2088</v>
      </c>
      <c r="F249" s="166"/>
      <c r="G249" s="166"/>
      <c r="H249" s="166"/>
      <c r="I249" s="166"/>
    </row>
    <row r="251" spans="2:12">
      <c r="B251" t="s">
        <v>177</v>
      </c>
      <c r="C251" s="166">
        <f t="shared" ref="C251:I251" si="21">C244-C248</f>
        <v>172036.32670837612</v>
      </c>
      <c r="D251" s="166">
        <f t="shared" si="21"/>
        <v>193407.70881337876</v>
      </c>
      <c r="E251" s="166">
        <f t="shared" si="21"/>
        <v>212230.0766182284</v>
      </c>
      <c r="F251" s="166">
        <f t="shared" si="21"/>
        <v>223692.06255605706</v>
      </c>
      <c r="G251" s="166">
        <f t="shared" si="21"/>
        <v>233353.20847261121</v>
      </c>
      <c r="H251" s="166">
        <f t="shared" si="21"/>
        <v>242681.59319418081</v>
      </c>
      <c r="I251" s="166">
        <f t="shared" si="21"/>
        <v>251704.50753998343</v>
      </c>
    </row>
    <row r="252" spans="2:12">
      <c r="B252" t="s">
        <v>5</v>
      </c>
      <c r="C252" s="57">
        <f t="shared" ref="C252:I252" si="22">C251/C242</f>
        <v>0.12719690178076823</v>
      </c>
      <c r="D252" s="57">
        <f t="shared" si="22"/>
        <v>0.13709259195355944</v>
      </c>
      <c r="E252" s="57">
        <f t="shared" si="22"/>
        <v>0.14601978308104965</v>
      </c>
      <c r="F252" s="57">
        <f t="shared" si="22"/>
        <v>0.1490756864137015</v>
      </c>
      <c r="G252" s="57">
        <f t="shared" si="22"/>
        <v>0.15110056290188306</v>
      </c>
      <c r="H252" s="57">
        <f t="shared" si="22"/>
        <v>0.15275853904464132</v>
      </c>
      <c r="I252" s="57">
        <f t="shared" si="22"/>
        <v>0.15408686788266684</v>
      </c>
    </row>
    <row r="254" spans="2:12">
      <c r="B254" s="108" t="s">
        <v>606</v>
      </c>
      <c r="C254" s="108">
        <f t="shared" ref="C254:I254" si="23">C241</f>
        <v>2012</v>
      </c>
      <c r="D254" s="108">
        <f t="shared" si="23"/>
        <v>2013</v>
      </c>
      <c r="E254" s="108">
        <f t="shared" si="23"/>
        <v>2014</v>
      </c>
      <c r="F254" s="108">
        <f t="shared" si="23"/>
        <v>2015</v>
      </c>
      <c r="G254" s="108">
        <f t="shared" si="23"/>
        <v>2016</v>
      </c>
      <c r="H254" s="108">
        <f t="shared" si="23"/>
        <v>2017</v>
      </c>
      <c r="I254" s="108">
        <f t="shared" si="23"/>
        <v>2018</v>
      </c>
    </row>
    <row r="255" spans="2:12">
      <c r="B255" t="str">
        <f>B242</f>
        <v>Revs</v>
      </c>
      <c r="C255" s="166">
        <f>'Master old'!N221</f>
        <v>1440888</v>
      </c>
      <c r="D255" s="166">
        <f>'Master old'!O221</f>
        <v>1643930</v>
      </c>
      <c r="E255" s="166">
        <f>'Master old'!P221</f>
        <v>1664053</v>
      </c>
      <c r="F255" s="166">
        <f>'Master old'!Q221</f>
        <v>1792864</v>
      </c>
      <c r="G255" s="166">
        <f>'Master old'!R221</f>
        <v>1876002</v>
      </c>
      <c r="H255" s="166">
        <f>'Master old'!S221</f>
        <v>1955170</v>
      </c>
      <c r="I255" s="166">
        <f>'Master old'!T221</f>
        <v>1936098</v>
      </c>
      <c r="L255" s="166">
        <f>F255-F242</f>
        <v>292337.20091294521</v>
      </c>
    </row>
    <row r="256" spans="2:12">
      <c r="B256" t="s">
        <v>612</v>
      </c>
      <c r="C256" s="57">
        <f>C255/'Master old'!M221-1</f>
        <v>0.16114963555118611</v>
      </c>
      <c r="D256" s="57">
        <f t="shared" ref="D256:I256" si="24">D255/C255-1</f>
        <v>0.14091449161905722</v>
      </c>
      <c r="E256" s="57">
        <f t="shared" si="24"/>
        <v>1.2240788841374028E-2</v>
      </c>
      <c r="F256" s="57">
        <f t="shared" si="24"/>
        <v>7.7407991211818405E-2</v>
      </c>
      <c r="G256" s="57">
        <f t="shared" si="24"/>
        <v>4.6371615471112237E-2</v>
      </c>
      <c r="H256" s="57">
        <f t="shared" si="24"/>
        <v>4.2200381449486679E-2</v>
      </c>
      <c r="I256" s="57">
        <f t="shared" si="24"/>
        <v>-9.7546504907501941E-3</v>
      </c>
      <c r="L256" s="166">
        <f>L255/'Master old'!Q52</f>
        <v>444.95768784314339</v>
      </c>
    </row>
    <row r="257" spans="2:9">
      <c r="B257" t="str">
        <f>B244</f>
        <v>EBITDA</v>
      </c>
      <c r="C257" s="166">
        <f>'Master old'!N233</f>
        <v>542625</v>
      </c>
      <c r="D257" s="166">
        <f>'Master old'!O233</f>
        <v>461938</v>
      </c>
      <c r="E257" s="166">
        <f>'Master old'!P233</f>
        <v>366150</v>
      </c>
      <c r="F257" s="166">
        <f>'Master old'!Q233</f>
        <v>364786</v>
      </c>
      <c r="G257" s="166">
        <f>'Master old'!R233</f>
        <v>416281</v>
      </c>
      <c r="H257" s="166">
        <f>'Master old'!S233</f>
        <v>440103</v>
      </c>
      <c r="I257" s="166">
        <f>'Master old'!T233</f>
        <v>426921</v>
      </c>
    </row>
    <row r="258" spans="2:9">
      <c r="B258" t="str">
        <f>B245</f>
        <v>% margin</v>
      </c>
      <c r="C258" s="162">
        <f t="shared" ref="C258:I258" si="25">C257/C255</f>
        <v>0.37659068574379134</v>
      </c>
      <c r="D258" s="162">
        <f t="shared" si="25"/>
        <v>0.28099614947108453</v>
      </c>
      <c r="E258" s="162">
        <f t="shared" si="25"/>
        <v>0.22003505897949163</v>
      </c>
      <c r="F258" s="162">
        <f t="shared" si="25"/>
        <v>0.2034655166259125</v>
      </c>
      <c r="G258" s="162">
        <f t="shared" si="25"/>
        <v>0.22189795106828245</v>
      </c>
      <c r="H258" s="162">
        <f t="shared" si="25"/>
        <v>0.22509705038436556</v>
      </c>
      <c r="I258" s="162">
        <f t="shared" si="25"/>
        <v>0.22050588348317079</v>
      </c>
    </row>
    <row r="259" spans="2:9">
      <c r="B259" t="str">
        <f>B246</f>
        <v>Infrastructure capex</v>
      </c>
      <c r="C259" s="166">
        <f>'Master old'!N251</f>
        <v>253246</v>
      </c>
      <c r="D259" s="166">
        <f>'Master old'!O251</f>
        <v>366125.52045454551</v>
      </c>
      <c r="E259" s="166">
        <f>'Master old'!P251</f>
        <v>513920</v>
      </c>
      <c r="F259" s="166">
        <f>'Master old'!Q251</f>
        <v>433263</v>
      </c>
      <c r="G259" s="166">
        <f>'Master old'!R251</f>
        <v>360499</v>
      </c>
      <c r="H259" s="166">
        <f>'Master old'!S251</f>
        <v>387011</v>
      </c>
      <c r="I259" s="166">
        <f>'Master old'!T251</f>
        <v>432021</v>
      </c>
    </row>
    <row r="260" spans="2:9">
      <c r="B260" t="str">
        <f>B247</f>
        <v>Capitalised equipment</v>
      </c>
      <c r="C260" s="166">
        <f>'Master old'!N254</f>
        <v>127679</v>
      </c>
      <c r="D260" s="166">
        <f>'Master old'!O254</f>
        <v>0</v>
      </c>
      <c r="E260" s="166">
        <f>'Master old'!P254</f>
        <v>0</v>
      </c>
      <c r="F260" s="166">
        <f>'Master old'!Q254</f>
        <v>0</v>
      </c>
      <c r="G260" s="166">
        <f>'Master old'!R254</f>
        <v>0</v>
      </c>
      <c r="H260" s="166">
        <f>'Master old'!S254</f>
        <v>0</v>
      </c>
      <c r="I260" s="166">
        <f>'Master old'!T254</f>
        <v>0</v>
      </c>
    </row>
    <row r="261" spans="2:9">
      <c r="B261" t="str">
        <f>B248</f>
        <v>Total capex</v>
      </c>
      <c r="C261" s="166">
        <f t="shared" ref="C261:I261" si="26">C259+C260</f>
        <v>380925</v>
      </c>
      <c r="D261" s="166">
        <f t="shared" si="26"/>
        <v>366125.52045454551</v>
      </c>
      <c r="E261" s="166">
        <f t="shared" si="26"/>
        <v>513920</v>
      </c>
      <c r="F261" s="166">
        <f t="shared" si="26"/>
        <v>433263</v>
      </c>
      <c r="G261" s="166">
        <f t="shared" si="26"/>
        <v>360499</v>
      </c>
      <c r="H261" s="166">
        <f t="shared" si="26"/>
        <v>387011</v>
      </c>
      <c r="I261" s="166">
        <f t="shared" si="26"/>
        <v>432021</v>
      </c>
    </row>
    <row r="262" spans="2:9">
      <c r="B262" t="s">
        <v>611</v>
      </c>
      <c r="E262" s="245">
        <f>SUM('Master old'!N261:P261)</f>
        <v>1999.5549972903623</v>
      </c>
    </row>
    <row r="263" spans="2:9">
      <c r="E263" s="166"/>
    </row>
    <row r="264" spans="2:9">
      <c r="B264" t="str">
        <f>B251</f>
        <v>OpFCF</v>
      </c>
      <c r="C264" s="166">
        <f t="shared" ref="C264:I264" si="27">C257-C261</f>
        <v>161700</v>
      </c>
      <c r="D264" s="166">
        <f t="shared" si="27"/>
        <v>95812.479545454495</v>
      </c>
      <c r="E264" s="166">
        <f t="shared" si="27"/>
        <v>-147770</v>
      </c>
      <c r="F264" s="166">
        <f t="shared" si="27"/>
        <v>-68477</v>
      </c>
      <c r="G264" s="166">
        <f t="shared" si="27"/>
        <v>55782</v>
      </c>
      <c r="H264" s="166">
        <f t="shared" si="27"/>
        <v>53092</v>
      </c>
      <c r="I264" s="166">
        <f t="shared" si="27"/>
        <v>-5100</v>
      </c>
    </row>
    <row r="265" spans="2:9">
      <c r="B265" t="str">
        <f>B252</f>
        <v>% margin</v>
      </c>
      <c r="C265" s="57">
        <f t="shared" ref="C265:I265" si="28">C264/C255</f>
        <v>0.11222246281459766</v>
      </c>
      <c r="D265" s="57">
        <f t="shared" si="28"/>
        <v>5.8282578665426445E-2</v>
      </c>
      <c r="E265" s="57">
        <f t="shared" si="28"/>
        <v>-8.8801258133004171E-2</v>
      </c>
      <c r="F265" s="57">
        <f t="shared" si="28"/>
        <v>-3.8194196548092883E-2</v>
      </c>
      <c r="G265" s="57">
        <f t="shared" si="28"/>
        <v>2.9734509877921238E-2</v>
      </c>
      <c r="H265" s="57">
        <f t="shared" si="28"/>
        <v>2.7154671972258168E-2</v>
      </c>
      <c r="I265" s="57">
        <f t="shared" si="28"/>
        <v>-2.6341641797057794E-3</v>
      </c>
    </row>
    <row r="267" spans="2:9">
      <c r="B267" s="108" t="s">
        <v>63</v>
      </c>
      <c r="C267" s="108">
        <f t="shared" ref="C267:I267" si="29">C254</f>
        <v>2012</v>
      </c>
      <c r="D267" s="108">
        <f t="shared" si="29"/>
        <v>2013</v>
      </c>
      <c r="E267" s="108">
        <f t="shared" si="29"/>
        <v>2014</v>
      </c>
      <c r="F267" s="108">
        <f t="shared" si="29"/>
        <v>2015</v>
      </c>
      <c r="G267" s="108">
        <f t="shared" si="29"/>
        <v>2016</v>
      </c>
      <c r="H267" s="108">
        <f t="shared" si="29"/>
        <v>2017</v>
      </c>
      <c r="I267" s="108">
        <f t="shared" si="29"/>
        <v>2018</v>
      </c>
    </row>
    <row r="268" spans="2:9">
      <c r="B268" t="str">
        <f>B255</f>
        <v>Revs</v>
      </c>
      <c r="C268" s="57">
        <f t="shared" ref="C268:I268" si="30">C255/C242-1</f>
        <v>6.5335984089947452E-2</v>
      </c>
      <c r="D268" s="57">
        <f t="shared" si="30"/>
        <v>0.16526185058982112</v>
      </c>
      <c r="E268" s="57">
        <f t="shared" si="30"/>
        <v>0.14491151286000137</v>
      </c>
      <c r="F268" s="57">
        <f t="shared" si="30"/>
        <v>0.19482304554027818</v>
      </c>
      <c r="G268" s="57">
        <f t="shared" si="30"/>
        <v>0.21474634979500973</v>
      </c>
      <c r="H268" s="57">
        <f t="shared" si="30"/>
        <v>0.23070278570708269</v>
      </c>
      <c r="I268" s="57">
        <f t="shared" si="30"/>
        <v>0.1852281854209783</v>
      </c>
    </row>
    <row r="269" spans="2:9">
      <c r="B269" t="str">
        <f>B257</f>
        <v>EBITDA</v>
      </c>
      <c r="C269" s="57">
        <f t="shared" ref="C269:I269" si="31">C257/C244-1</f>
        <v>5.2292652913672466E-3</v>
      </c>
      <c r="D269" s="57">
        <f t="shared" si="31"/>
        <v>-0.17683585031372706</v>
      </c>
      <c r="E269" s="57">
        <f t="shared" si="31"/>
        <v>-0.36870252192082842</v>
      </c>
      <c r="F269" s="57">
        <f t="shared" si="31"/>
        <v>-0.38324273153739552</v>
      </c>
      <c r="G269" s="57">
        <f t="shared" si="31"/>
        <v>-0.30748999456281778</v>
      </c>
      <c r="H269" s="57">
        <f t="shared" si="31"/>
        <v>-0.27904856377760634</v>
      </c>
      <c r="I269" s="57">
        <f t="shared" si="31"/>
        <v>-0.31082906964639523</v>
      </c>
    </row>
    <row r="270" spans="2:9">
      <c r="C270" s="57"/>
      <c r="D270" s="57"/>
      <c r="E270" s="57"/>
      <c r="F270" s="57"/>
      <c r="G270" s="57"/>
      <c r="H270" s="57"/>
      <c r="I270" s="57"/>
    </row>
    <row r="271" spans="2:9">
      <c r="B271" t="str">
        <f>B259</f>
        <v>Infrastructure capex</v>
      </c>
      <c r="C271" s="57">
        <f t="shared" ref="C271:I273" si="32">C259/C246-1</f>
        <v>1.3699249073951592E-2</v>
      </c>
      <c r="D271" s="57">
        <f t="shared" si="32"/>
        <v>0.46553613937271465</v>
      </c>
      <c r="E271" s="57">
        <f t="shared" si="32"/>
        <v>1.0571314772359099</v>
      </c>
      <c r="F271" s="57">
        <f t="shared" si="32"/>
        <v>0.73427567563368235</v>
      </c>
      <c r="G271" s="57">
        <f t="shared" si="32"/>
        <v>0.44301416643070568</v>
      </c>
      <c r="H271" s="57">
        <f t="shared" si="32"/>
        <v>0.54913704494191062</v>
      </c>
      <c r="I271" s="57">
        <f t="shared" si="32"/>
        <v>0.72930416782171359</v>
      </c>
    </row>
    <row r="272" spans="2:9">
      <c r="B272" s="108" t="str">
        <f>B260</f>
        <v>Capitalised equipment</v>
      </c>
      <c r="C272" s="244">
        <f t="shared" si="32"/>
        <v>8.2554774665238861E-2</v>
      </c>
      <c r="D272" s="244">
        <f t="shared" si="32"/>
        <v>-1</v>
      </c>
      <c r="E272" s="244">
        <f t="shared" si="32"/>
        <v>-1</v>
      </c>
      <c r="F272" s="244">
        <f t="shared" si="32"/>
        <v>-1</v>
      </c>
      <c r="G272" s="244">
        <f t="shared" si="32"/>
        <v>-1</v>
      </c>
      <c r="H272" s="244">
        <f t="shared" si="32"/>
        <v>-1</v>
      </c>
      <c r="I272" s="244">
        <f t="shared" si="32"/>
        <v>-1</v>
      </c>
    </row>
    <row r="273" spans="2:9">
      <c r="B273" t="str">
        <f>B261</f>
        <v>Total capex</v>
      </c>
      <c r="C273" s="57">
        <f t="shared" si="32"/>
        <v>3.5781173914543496E-2</v>
      </c>
      <c r="D273" s="57">
        <f t="shared" si="32"/>
        <v>-4.4604019781260273E-3</v>
      </c>
      <c r="E273" s="57">
        <f t="shared" si="32"/>
        <v>0.39741067374985151</v>
      </c>
      <c r="F273" s="57">
        <f t="shared" si="32"/>
        <v>0.17809452977288664</v>
      </c>
      <c r="G273" s="57">
        <f t="shared" si="32"/>
        <v>-1.9759592006250548E-2</v>
      </c>
      <c r="H273" s="57">
        <f t="shared" si="32"/>
        <v>5.2329744432214609E-2</v>
      </c>
      <c r="I273" s="57">
        <f t="shared" si="32"/>
        <v>0.17471738146809734</v>
      </c>
    </row>
    <row r="274" spans="2:9">
      <c r="C274" s="57"/>
      <c r="D274" s="57"/>
      <c r="E274" s="57"/>
      <c r="F274" s="57"/>
      <c r="G274" s="57"/>
      <c r="H274" s="57"/>
      <c r="I274" s="57"/>
    </row>
    <row r="275" spans="2:9">
      <c r="B275" t="str">
        <f>B264</f>
        <v>OpFCF</v>
      </c>
      <c r="C275" s="57">
        <f t="shared" ref="C275:I275" si="33">C264/C251-1</f>
        <v>-6.008223324773454E-2</v>
      </c>
      <c r="D275" s="57">
        <f t="shared" si="33"/>
        <v>-0.50460878662336561</v>
      </c>
      <c r="E275" s="57">
        <f t="shared" si="33"/>
        <v>-1.6962726600990543</v>
      </c>
      <c r="F275" s="57">
        <f t="shared" si="33"/>
        <v>-1.3061217247386223</v>
      </c>
      <c r="G275" s="57">
        <f t="shared" si="33"/>
        <v>-0.7609546473986144</v>
      </c>
      <c r="H275" s="57">
        <f t="shared" si="33"/>
        <v>-0.78122774248676274</v>
      </c>
      <c r="I275" s="57">
        <f t="shared" si="33"/>
        <v>-1.0202618540678692</v>
      </c>
    </row>
    <row r="276" spans="2:9">
      <c r="C276" s="57"/>
      <c r="D276" s="57"/>
      <c r="E276" s="57"/>
      <c r="F276" s="57"/>
      <c r="G276" s="57"/>
      <c r="H276" s="57"/>
      <c r="I276" s="57"/>
    </row>
    <row r="277" spans="2:9">
      <c r="B277" t="s">
        <v>613</v>
      </c>
    </row>
    <row r="278" spans="2:9">
      <c r="B278" s="108"/>
      <c r="C278" s="108">
        <v>2011</v>
      </c>
      <c r="D278" s="141">
        <f>C278+1</f>
        <v>2012</v>
      </c>
      <c r="E278" s="141">
        <f>D278+1</f>
        <v>2013</v>
      </c>
      <c r="F278" s="141">
        <f>E278+1</f>
        <v>2014</v>
      </c>
    </row>
    <row r="279" spans="2:9">
      <c r="B279" t="s">
        <v>608</v>
      </c>
      <c r="C279" s="15">
        <f>'Master old'!M251/'Master old'!M$52</f>
        <v>508.47107438016531</v>
      </c>
      <c r="D279" s="15">
        <f>C246/'Master old'!N$52</f>
        <v>514.04033790374729</v>
      </c>
      <c r="E279" s="15">
        <f>D246/'Master old'!O$52</f>
        <v>504.69414994186099</v>
      </c>
      <c r="F279" s="15">
        <f>E246/'Master old'!P$52</f>
        <v>437.51944697236632</v>
      </c>
    </row>
    <row r="280" spans="2:9">
      <c r="B280" t="s">
        <v>614</v>
      </c>
      <c r="C280" s="15">
        <f>'Master old'!M254/'Master old'!M$52</f>
        <v>232.07851239669421</v>
      </c>
      <c r="D280" s="15">
        <f>C247/'Master old'!N$52</f>
        <v>242.67962962962963</v>
      </c>
      <c r="E280" s="15">
        <f>D247/'Master old'!O$52</f>
        <v>238.26727272727274</v>
      </c>
      <c r="F280" s="15">
        <f>E247/'Master old'!P$52</f>
        <v>206.55394045534152</v>
      </c>
    </row>
    <row r="281" spans="2:9">
      <c r="B281" t="s">
        <v>610</v>
      </c>
      <c r="C281" s="15">
        <f>C279+C280</f>
        <v>740.54958677685954</v>
      </c>
      <c r="D281" s="15">
        <f>D279+D280</f>
        <v>756.71996753337692</v>
      </c>
      <c r="E281" s="15">
        <f>E279+E280</f>
        <v>742.96142266913375</v>
      </c>
      <c r="F281" s="15">
        <f>F279+F280</f>
        <v>644.07338742770787</v>
      </c>
    </row>
    <row r="283" spans="2:9">
      <c r="B283" t="str">
        <f>B279</f>
        <v>Infrastructure capex</v>
      </c>
      <c r="D283" s="15">
        <f>C259/'Master old'!N$52</f>
        <v>521.082304526749</v>
      </c>
      <c r="E283" s="15">
        <f>D259/'Master old'!O$52</f>
        <v>739.64751606978894</v>
      </c>
      <c r="F283" s="15">
        <f>E259/'Master old'!P$52</f>
        <v>900.03502626970226</v>
      </c>
    </row>
    <row r="284" spans="2:9">
      <c r="B284" t="str">
        <f>B280</f>
        <v>Capitalised subsidifies</v>
      </c>
      <c r="D284" s="15">
        <f>C260/'Master old'!N$52</f>
        <v>262.71399176954731</v>
      </c>
      <c r="E284" s="15">
        <f>D260/'Master old'!O$52</f>
        <v>0</v>
      </c>
      <c r="F284" s="15">
        <f>E260/'Master old'!P$52</f>
        <v>0</v>
      </c>
    </row>
    <row r="285" spans="2:9">
      <c r="B285" t="str">
        <f>B281</f>
        <v>Total capex</v>
      </c>
      <c r="D285" s="15">
        <f>D283+D284</f>
        <v>783.7962962962963</v>
      </c>
      <c r="E285" s="15">
        <f>E283+E284</f>
        <v>739.64751606978894</v>
      </c>
      <c r="F285" s="15">
        <f>F283+F284</f>
        <v>900.03502626970226</v>
      </c>
    </row>
    <row r="288" spans="2:9">
      <c r="B288" s="108"/>
      <c r="C288" s="108">
        <v>2010</v>
      </c>
      <c r="D288" s="108">
        <v>2011</v>
      </c>
    </row>
    <row r="289" spans="2:6">
      <c r="B289" t="s">
        <v>291</v>
      </c>
      <c r="C289" s="15">
        <f t="shared" ref="C289:D294" si="34">E289*C$295</f>
        <v>893.12700000000007</v>
      </c>
      <c r="D289" s="15">
        <f t="shared" si="34"/>
        <v>911.54700000000003</v>
      </c>
      <c r="E289" s="57">
        <v>0.46300000000000002</v>
      </c>
      <c r="F289" s="57">
        <v>0.441</v>
      </c>
    </row>
    <row r="290" spans="2:6">
      <c r="B290" t="s">
        <v>646</v>
      </c>
      <c r="C290" s="15">
        <f t="shared" si="34"/>
        <v>13.503</v>
      </c>
      <c r="D290" s="15">
        <f t="shared" si="34"/>
        <v>10.335000000000001</v>
      </c>
      <c r="E290" s="57">
        <v>7.0000000000000001E-3</v>
      </c>
      <c r="F290" s="57">
        <v>5.0000000000000001E-3</v>
      </c>
    </row>
    <row r="291" spans="2:6">
      <c r="B291" t="s">
        <v>617</v>
      </c>
      <c r="C291" s="15">
        <f t="shared" si="34"/>
        <v>372.29700000000003</v>
      </c>
      <c r="D291" s="15">
        <f t="shared" si="34"/>
        <v>434.07</v>
      </c>
      <c r="E291" s="57">
        <v>0.193</v>
      </c>
      <c r="F291" s="57">
        <v>0.21</v>
      </c>
    </row>
    <row r="292" spans="2:6">
      <c r="B292" t="s">
        <v>618</v>
      </c>
      <c r="C292" s="15">
        <f t="shared" si="34"/>
        <v>370.36799999999999</v>
      </c>
      <c r="D292" s="15">
        <f t="shared" si="34"/>
        <v>407.19900000000001</v>
      </c>
      <c r="E292" s="57">
        <v>0.192</v>
      </c>
      <c r="F292" s="57">
        <v>0.19700000000000001</v>
      </c>
    </row>
    <row r="293" spans="2:6">
      <c r="B293" t="s">
        <v>619</v>
      </c>
      <c r="C293" s="15">
        <f t="shared" si="34"/>
        <v>198.68699999999998</v>
      </c>
      <c r="D293" s="15">
        <f t="shared" si="34"/>
        <v>239.77200000000002</v>
      </c>
      <c r="E293" s="57">
        <v>0.10299999999999999</v>
      </c>
      <c r="F293" s="57">
        <v>0.11600000000000001</v>
      </c>
    </row>
    <row r="294" spans="2:6">
      <c r="B294" s="108" t="s">
        <v>20</v>
      </c>
      <c r="C294" s="246">
        <f t="shared" si="34"/>
        <v>81.018000000000072</v>
      </c>
      <c r="D294" s="246">
        <f t="shared" si="34"/>
        <v>64.077000000000055</v>
      </c>
      <c r="E294" s="244">
        <f>100%-SUM(E289:E293)</f>
        <v>4.2000000000000037E-2</v>
      </c>
      <c r="F294" s="244">
        <f>100%-SUM(F289:F293)</f>
        <v>3.1000000000000028E-2</v>
      </c>
    </row>
    <row r="295" spans="2:6">
      <c r="B295" t="s">
        <v>621</v>
      </c>
      <c r="C295" s="15">
        <f>D301</f>
        <v>1929</v>
      </c>
      <c r="D295" s="15">
        <f>E301</f>
        <v>2067</v>
      </c>
    </row>
    <row r="296" spans="2:6">
      <c r="D296" s="15"/>
    </row>
    <row r="297" spans="2:6">
      <c r="B297" t="s">
        <v>620</v>
      </c>
      <c r="C297" s="15">
        <f>D297</f>
        <v>4557.7349999999997</v>
      </c>
      <c r="D297" s="15">
        <f>D289/0.2</f>
        <v>4557.7349999999997</v>
      </c>
    </row>
    <row r="298" spans="2:6">
      <c r="C298" s="57">
        <f>C295/C297</f>
        <v>0.4232365418349246</v>
      </c>
      <c r="D298" s="57">
        <f>D295/D297</f>
        <v>0.45351473922902497</v>
      </c>
    </row>
    <row r="299" spans="2:6">
      <c r="C299" s="57"/>
      <c r="D299" s="57"/>
    </row>
    <row r="300" spans="2:6">
      <c r="B300" s="249" t="s">
        <v>645</v>
      </c>
      <c r="C300" s="57"/>
      <c r="D300" s="57"/>
    </row>
    <row r="301" spans="2:6">
      <c r="C301" s="15">
        <v>1664</v>
      </c>
      <c r="D301" s="15">
        <v>1929</v>
      </c>
      <c r="E301" s="15">
        <v>2067</v>
      </c>
    </row>
    <row r="302" spans="2:6">
      <c r="C302" s="57">
        <f>C301/$D$297</f>
        <v>0.36509362654915217</v>
      </c>
      <c r="D302" s="57">
        <f>D301/$D$297</f>
        <v>0.4232365418349246</v>
      </c>
      <c r="E302" s="57">
        <f>E301/$D$297</f>
        <v>0.45351473922902497</v>
      </c>
    </row>
    <row r="303" spans="2:6">
      <c r="D303" s="57"/>
    </row>
    <row r="304" spans="2:6">
      <c r="C304" s="57"/>
      <c r="D304" s="57"/>
    </row>
    <row r="306" spans="2:8">
      <c r="B306" t="str">
        <f>Analysis!B373</f>
        <v>TEF</v>
      </c>
      <c r="C306" s="15">
        <f>Analysis!G373</f>
        <v>848.44100000000003</v>
      </c>
      <c r="D306" s="57">
        <f>C306/C$310</f>
        <v>0.47485393797981912</v>
      </c>
    </row>
    <row r="307" spans="2:8">
      <c r="B307" t="s">
        <v>291</v>
      </c>
      <c r="C307" s="15">
        <f>Analysis!G374</f>
        <v>762</v>
      </c>
      <c r="D307" s="57">
        <f>C307/C$310</f>
        <v>0.42647479405241162</v>
      </c>
    </row>
    <row r="308" spans="2:8">
      <c r="B308" t="s">
        <v>212</v>
      </c>
      <c r="C308" s="15">
        <f>Analysis!G376</f>
        <v>156.30000000000001</v>
      </c>
      <c r="D308" s="57">
        <f>C308/C$310</f>
        <v>8.7477703819412E-2</v>
      </c>
    </row>
    <row r="309" spans="2:8">
      <c r="B309" t="s">
        <v>20</v>
      </c>
      <c r="C309" s="15">
        <f>Analysis!G377</f>
        <v>20</v>
      </c>
      <c r="D309" s="57">
        <f>C309/C$310</f>
        <v>1.119356414835726E-2</v>
      </c>
    </row>
    <row r="310" spans="2:8">
      <c r="C310" s="15">
        <f>SUM(C306:C309)</f>
        <v>1786.741</v>
      </c>
    </row>
    <row r="312" spans="2:8">
      <c r="B312" t="s">
        <v>623</v>
      </c>
    </row>
    <row r="314" spans="2:8">
      <c r="C314">
        <v>2016</v>
      </c>
    </row>
    <row r="315" spans="2:8">
      <c r="B315" t="s">
        <v>413</v>
      </c>
      <c r="C315">
        <f>'Master old'!R221</f>
        <v>1876002</v>
      </c>
      <c r="D315">
        <f>300*'Master old'!R52</f>
        <v>202800</v>
      </c>
      <c r="E315">
        <f>C315-D315</f>
        <v>1673202</v>
      </c>
    </row>
    <row r="316" spans="2:8">
      <c r="B316" t="s">
        <v>4</v>
      </c>
      <c r="C316" s="15">
        <f>'Master old'!R233</f>
        <v>416281</v>
      </c>
      <c r="D316">
        <f>D315*0.1</f>
        <v>20280</v>
      </c>
      <c r="E316">
        <f>C316-D316</f>
        <v>396001</v>
      </c>
    </row>
    <row r="317" spans="2:8">
      <c r="B317" t="s">
        <v>5</v>
      </c>
      <c r="C317" s="162">
        <f>C316/C315</f>
        <v>0.22189795106828245</v>
      </c>
      <c r="D317" s="162">
        <f>D316/D315</f>
        <v>0.1</v>
      </c>
      <c r="E317" s="162">
        <f>E316/E315</f>
        <v>0.23667255955945546</v>
      </c>
    </row>
    <row r="320" spans="2:8">
      <c r="C320">
        <f>D320-1</f>
        <v>2011</v>
      </c>
      <c r="D320">
        <v>2012</v>
      </c>
      <c r="E320">
        <f>D320+1</f>
        <v>2013</v>
      </c>
      <c r="F320">
        <f>E320+1</f>
        <v>2014</v>
      </c>
      <c r="G320">
        <f>F320+1</f>
        <v>2015</v>
      </c>
      <c r="H320">
        <f>G320+1</f>
        <v>2016</v>
      </c>
    </row>
    <row r="321" spans="2:8">
      <c r="B321" t="s">
        <v>626</v>
      </c>
      <c r="C321" s="162">
        <f>'Master old'!M243</f>
        <v>0.41517670428675613</v>
      </c>
      <c r="D321" s="162">
        <f>'Master old'!N243</f>
        <v>0.37659068574379134</v>
      </c>
      <c r="E321" s="162">
        <f>'Master old'!O243</f>
        <v>0.28099614947108453</v>
      </c>
      <c r="F321" s="162">
        <f>'Master old'!P243</f>
        <v>0.22003505897949163</v>
      </c>
      <c r="G321" s="162">
        <f>'Master old'!Q243</f>
        <v>0.2034655166259125</v>
      </c>
      <c r="H321" s="162">
        <f>'Master old'!R243</f>
        <v>0.22189795106828245</v>
      </c>
    </row>
    <row r="322" spans="2:8">
      <c r="B322" t="s">
        <v>625</v>
      </c>
      <c r="C322" s="57">
        <v>0.1</v>
      </c>
      <c r="D322" s="57">
        <v>0.1</v>
      </c>
      <c r="E322" s="57">
        <v>0.1</v>
      </c>
      <c r="F322" s="57">
        <v>0.1</v>
      </c>
      <c r="G322" s="57">
        <v>0.1</v>
      </c>
      <c r="H322" s="57">
        <v>0.1</v>
      </c>
    </row>
    <row r="323" spans="2:8">
      <c r="B323" t="s">
        <v>624</v>
      </c>
      <c r="C323" s="162">
        <f>('Master old'!M233-Analysis!C327)/('Master old'!M221-Analysis!C326)</f>
        <v>0.41517670428675613</v>
      </c>
      <c r="D323" s="162">
        <f>('Master old'!N233-Analysis!D327)/('Master old'!N221-Analysis!D326)</f>
        <v>0.38133529297156266</v>
      </c>
      <c r="E323" s="162">
        <f>('Master old'!O233-Analysis!E327)/('Master old'!O221-Analysis!E326)</f>
        <v>0.28807500371352451</v>
      </c>
      <c r="F323" s="162">
        <f>('Master old'!P233-Analysis!F327)/('Master old'!P221-Analysis!F326)</f>
        <v>0.22817145335846994</v>
      </c>
      <c r="G323" s="162">
        <f>('Master old'!Q233-Analysis!G327)/('Master old'!Q221-Analysis!G326)</f>
        <v>0.21390028576445985</v>
      </c>
      <c r="H323" s="162">
        <f>('Master old'!R233-Analysis!H327)/('Master old'!R221-Analysis!H326)</f>
        <v>0.23667255955945546</v>
      </c>
    </row>
    <row r="325" spans="2:8">
      <c r="B325" t="s">
        <v>627</v>
      </c>
      <c r="C325">
        <v>0</v>
      </c>
      <c r="D325">
        <v>50</v>
      </c>
      <c r="E325">
        <v>125</v>
      </c>
      <c r="F325">
        <v>185</v>
      </c>
      <c r="G325">
        <v>250</v>
      </c>
      <c r="H325">
        <v>300</v>
      </c>
    </row>
    <row r="326" spans="2:8">
      <c r="B326" t="s">
        <v>628</v>
      </c>
      <c r="C326">
        <f>C325*'Master old'!M52</f>
        <v>0</v>
      </c>
      <c r="D326" s="15">
        <f>D325*'Master old'!N52</f>
        <v>24300</v>
      </c>
      <c r="E326" s="15">
        <f>E325*'Master old'!O52</f>
        <v>61875</v>
      </c>
      <c r="F326" s="15">
        <f>F325*'Master old'!P52</f>
        <v>105635</v>
      </c>
      <c r="G326" s="15">
        <f>G325*'Master old'!Q52</f>
        <v>164250</v>
      </c>
      <c r="H326" s="15">
        <f>H325*'Master old'!R52</f>
        <v>202800</v>
      </c>
    </row>
    <row r="327" spans="2:8">
      <c r="B327" t="s">
        <v>4</v>
      </c>
      <c r="C327">
        <f t="shared" ref="C327:H327" si="35">C326*C322</f>
        <v>0</v>
      </c>
      <c r="D327" s="15">
        <f t="shared" si="35"/>
        <v>2430</v>
      </c>
      <c r="E327" s="15">
        <f t="shared" si="35"/>
        <v>6187.5</v>
      </c>
      <c r="F327" s="15">
        <f t="shared" si="35"/>
        <v>10563.5</v>
      </c>
      <c r="G327" s="15">
        <f t="shared" si="35"/>
        <v>16425</v>
      </c>
      <c r="H327" s="15">
        <f t="shared" si="35"/>
        <v>20280</v>
      </c>
    </row>
    <row r="329" spans="2:8">
      <c r="B329" t="s">
        <v>661</v>
      </c>
      <c r="D329" s="15">
        <f>D327/'Master old'!N52</f>
        <v>5</v>
      </c>
      <c r="E329" s="15">
        <f>E327/'Master old'!O52</f>
        <v>12.5</v>
      </c>
      <c r="F329" s="15">
        <f>F327/'Master old'!P52</f>
        <v>18.5</v>
      </c>
      <c r="G329" s="15">
        <f>G327/'Master old'!Q52</f>
        <v>25</v>
      </c>
      <c r="H329" s="15">
        <f>H327/'Master old'!R52</f>
        <v>30</v>
      </c>
    </row>
    <row r="330" spans="2:8">
      <c r="B330" t="s">
        <v>663</v>
      </c>
      <c r="D330" s="15">
        <v>100</v>
      </c>
      <c r="E330" s="15">
        <v>150</v>
      </c>
      <c r="F330" s="15">
        <v>200</v>
      </c>
      <c r="G330" s="15">
        <v>250</v>
      </c>
      <c r="H330" s="15">
        <v>300</v>
      </c>
    </row>
    <row r="331" spans="2:8">
      <c r="B331" t="s">
        <v>662</v>
      </c>
      <c r="D331" s="15">
        <f>D330-C330</f>
        <v>100</v>
      </c>
      <c r="E331" s="15">
        <f>E330-D330</f>
        <v>50</v>
      </c>
      <c r="F331" s="15">
        <f>F330-E330</f>
        <v>50</v>
      </c>
      <c r="G331" s="15">
        <f>G330-F330</f>
        <v>50</v>
      </c>
      <c r="H331" s="15">
        <f>H330-G330</f>
        <v>50</v>
      </c>
    </row>
    <row r="332" spans="2:8">
      <c r="B332" t="s">
        <v>665</v>
      </c>
      <c r="D332">
        <v>100</v>
      </c>
      <c r="E332">
        <v>100</v>
      </c>
      <c r="F332">
        <v>100</v>
      </c>
      <c r="G332">
        <v>100</v>
      </c>
      <c r="H332">
        <v>100</v>
      </c>
    </row>
    <row r="333" spans="2:8">
      <c r="B333" t="s">
        <v>664</v>
      </c>
      <c r="D333">
        <f>D332*D331/1000</f>
        <v>10</v>
      </c>
      <c r="E333">
        <f>E332*E331/1000</f>
        <v>5</v>
      </c>
      <c r="F333">
        <f>F332*F331/1000</f>
        <v>5</v>
      </c>
      <c r="G333">
        <f>G332*G331/1000</f>
        <v>5</v>
      </c>
      <c r="H333">
        <f>H332*H331/1000</f>
        <v>5</v>
      </c>
    </row>
    <row r="335" spans="2:8">
      <c r="B335" t="s">
        <v>629</v>
      </c>
    </row>
    <row r="337" spans="2:19">
      <c r="B337" t="s">
        <v>630</v>
      </c>
      <c r="C337" s="178" t="s">
        <v>635</v>
      </c>
    </row>
    <row r="338" spans="2:19">
      <c r="B338" t="s">
        <v>631</v>
      </c>
      <c r="C338" s="178" t="s">
        <v>632</v>
      </c>
    </row>
    <row r="339" spans="2:19">
      <c r="B339" t="s">
        <v>633</v>
      </c>
      <c r="C339" s="178" t="s">
        <v>634</v>
      </c>
    </row>
    <row r="341" spans="2:19">
      <c r="B341" t="s">
        <v>636</v>
      </c>
    </row>
    <row r="343" spans="2:19">
      <c r="B343" s="108" t="s">
        <v>640</v>
      </c>
      <c r="C343" s="108">
        <v>2012</v>
      </c>
      <c r="D343" s="108">
        <f>C343+1</f>
        <v>2013</v>
      </c>
      <c r="E343" s="108">
        <f>D343+1</f>
        <v>2014</v>
      </c>
      <c r="F343" s="108">
        <f>E343+1</f>
        <v>2015</v>
      </c>
      <c r="G343" s="108">
        <f>F343+1</f>
        <v>2016</v>
      </c>
    </row>
    <row r="344" spans="2:19">
      <c r="B344" t="s">
        <v>641</v>
      </c>
      <c r="C344" s="166">
        <f>Valuation!H33</f>
        <v>375</v>
      </c>
      <c r="D344" s="166">
        <f>Valuation!I33</f>
        <v>300</v>
      </c>
      <c r="E344" s="166">
        <f>Valuation!J33</f>
        <v>114</v>
      </c>
      <c r="F344" s="166">
        <f>Valuation!K33</f>
        <v>0</v>
      </c>
      <c r="G344" s="166">
        <f>Valuation!L33</f>
        <v>0</v>
      </c>
    </row>
    <row r="345" spans="2:19">
      <c r="B345" t="s">
        <v>637</v>
      </c>
      <c r="C345" s="166">
        <f>'Master old'!N309</f>
        <v>131257.5</v>
      </c>
      <c r="D345" s="166">
        <f>'Master old'!O309</f>
        <v>88687.5</v>
      </c>
      <c r="E345" s="166">
        <f>'Master old'!P309</f>
        <v>54395</v>
      </c>
      <c r="F345" s="166">
        <f>'Master old'!Q309</f>
        <v>8041</v>
      </c>
      <c r="G345" s="166">
        <f>'Master old'!R309</f>
        <v>0</v>
      </c>
    </row>
    <row r="346" spans="2:19">
      <c r="B346" t="s">
        <v>638</v>
      </c>
      <c r="C346" s="57">
        <f>'Master old'!N321</f>
        <v>0.53012959221490308</v>
      </c>
      <c r="D346" s="57">
        <f>'Master old'!O321</f>
        <v>0.50110532746650471</v>
      </c>
      <c r="E346" s="57">
        <f>'Master old'!P321</f>
        <v>0.47743089373306657</v>
      </c>
      <c r="F346" s="57">
        <f>'Master old'!Q321</f>
        <v>0</v>
      </c>
      <c r="G346" s="57">
        <f>'Master old'!R321</f>
        <v>0</v>
      </c>
    </row>
    <row r="347" spans="2:19">
      <c r="B347" t="s">
        <v>639</v>
      </c>
      <c r="C347" s="248">
        <f>'Master old'!N320</f>
        <v>0.37724432458644025</v>
      </c>
      <c r="D347" s="248">
        <f>'Master old'!O320</f>
        <v>2.2256109950230711</v>
      </c>
      <c r="E347" s="248">
        <f>'Master old'!P320</f>
        <v>-3.6873819175669974E-2</v>
      </c>
      <c r="F347" s="248">
        <f>'Master old'!Q320</f>
        <v>0</v>
      </c>
      <c r="G347" s="248">
        <f>'Master old'!R320</f>
        <v>-0.18410060414622179</v>
      </c>
    </row>
    <row r="348" spans="2:19">
      <c r="B348" t="s">
        <v>254</v>
      </c>
      <c r="C348" s="162">
        <f>Valuation!H43</f>
        <v>0.12135922330097088</v>
      </c>
      <c r="D348" s="162">
        <f>Valuation!I43</f>
        <v>7.4433656957928807E-2</v>
      </c>
      <c r="E348" s="162">
        <f>Valuation!J43</f>
        <v>1.1003236245954692E-2</v>
      </c>
      <c r="F348" s="162">
        <f>Valuation!K43</f>
        <v>0</v>
      </c>
      <c r="G348" s="162">
        <f>Valuation!L43</f>
        <v>4.8543689320388345E-3</v>
      </c>
    </row>
    <row r="351" spans="2:19">
      <c r="B351" t="s">
        <v>642</v>
      </c>
      <c r="M351" t="s">
        <v>934</v>
      </c>
      <c r="S351" t="s">
        <v>933</v>
      </c>
    </row>
    <row r="353" spans="2:9">
      <c r="B353" s="108" t="s">
        <v>643</v>
      </c>
      <c r="C353" s="108">
        <v>2011</v>
      </c>
      <c r="D353" s="108">
        <f>C343</f>
        <v>2012</v>
      </c>
      <c r="E353" s="108">
        <f>D343</f>
        <v>2013</v>
      </c>
      <c r="F353" s="108">
        <f>E343</f>
        <v>2014</v>
      </c>
      <c r="G353" s="108">
        <f>F343</f>
        <v>2015</v>
      </c>
      <c r="H353" s="108">
        <f>G343</f>
        <v>2016</v>
      </c>
    </row>
    <row r="354" spans="2:9">
      <c r="B354" t="s">
        <v>542</v>
      </c>
      <c r="C354" s="15" t="e">
        <f>Questions!#REF!</f>
        <v>#REF!</v>
      </c>
    </row>
    <row r="355" spans="2:9">
      <c r="B355" t="s">
        <v>644</v>
      </c>
      <c r="C355" s="15" t="e">
        <f>Questions!#REF!</f>
        <v>#REF!</v>
      </c>
      <c r="D355" s="15" t="e">
        <f>Questions!#REF!</f>
        <v>#REF!</v>
      </c>
    </row>
    <row r="358" spans="2:9">
      <c r="B358" s="108" t="s">
        <v>213</v>
      </c>
      <c r="D358" s="108"/>
      <c r="E358" s="108"/>
      <c r="F358" s="108">
        <v>2010</v>
      </c>
      <c r="G358" s="108">
        <v>2011</v>
      </c>
      <c r="H358" s="108">
        <v>2012</v>
      </c>
      <c r="I358" s="270">
        <v>41426</v>
      </c>
    </row>
    <row r="359" spans="2:9">
      <c r="B359" t="s">
        <v>134</v>
      </c>
      <c r="F359">
        <v>1945</v>
      </c>
      <c r="G359" s="15">
        <v>1853</v>
      </c>
      <c r="H359">
        <v>1743</v>
      </c>
      <c r="I359">
        <v>1701</v>
      </c>
    </row>
    <row r="360" spans="2:9">
      <c r="B360" t="s">
        <v>211</v>
      </c>
      <c r="F360">
        <v>638</v>
      </c>
      <c r="G360" s="15">
        <v>657.09299999999996</v>
      </c>
      <c r="H360">
        <v>689</v>
      </c>
      <c r="I360">
        <v>701</v>
      </c>
    </row>
    <row r="361" spans="2:9">
      <c r="B361" t="s">
        <v>654</v>
      </c>
      <c r="F361">
        <v>189</v>
      </c>
      <c r="G361" s="15">
        <f>131+95.6</f>
        <v>226.6</v>
      </c>
      <c r="H361">
        <v>237</v>
      </c>
      <c r="I361">
        <v>244</v>
      </c>
    </row>
    <row r="362" spans="2:9">
      <c r="B362" t="s">
        <v>133</v>
      </c>
      <c r="F362">
        <v>196</v>
      </c>
      <c r="G362" s="15">
        <v>195.3</v>
      </c>
      <c r="H362">
        <v>200</v>
      </c>
      <c r="I362">
        <v>203</v>
      </c>
    </row>
    <row r="363" spans="2:9">
      <c r="B363" t="s">
        <v>212</v>
      </c>
      <c r="F363">
        <v>84</v>
      </c>
      <c r="G363" s="15">
        <v>85</v>
      </c>
      <c r="H363">
        <v>88</v>
      </c>
      <c r="I363">
        <v>88</v>
      </c>
    </row>
    <row r="364" spans="2:9">
      <c r="B364" t="s">
        <v>655</v>
      </c>
      <c r="F364">
        <v>84</v>
      </c>
      <c r="G364" s="15">
        <v>87.7</v>
      </c>
      <c r="H364">
        <v>88</v>
      </c>
      <c r="I364">
        <v>88</v>
      </c>
    </row>
    <row r="365" spans="2:9">
      <c r="B365" s="108" t="s">
        <v>648</v>
      </c>
      <c r="C365" s="108"/>
      <c r="D365" s="108"/>
      <c r="E365" s="108"/>
      <c r="F365" s="246">
        <f>F366-SUM(F359:F364)</f>
        <v>321</v>
      </c>
      <c r="G365" s="246">
        <f>G366-SUM(G359:G364)</f>
        <v>261.30700000000024</v>
      </c>
      <c r="H365" s="246">
        <f>H366-SUM(H359:H364)</f>
        <v>235</v>
      </c>
      <c r="I365" s="246">
        <f>I366-SUM(I359:I364)</f>
        <v>222</v>
      </c>
    </row>
    <row r="366" spans="2:9">
      <c r="B366" t="s">
        <v>68</v>
      </c>
      <c r="C366">
        <v>3460</v>
      </c>
      <c r="D366">
        <v>3529</v>
      </c>
      <c r="E366">
        <v>3564</v>
      </c>
      <c r="F366">
        <v>3457</v>
      </c>
      <c r="G366">
        <v>3366</v>
      </c>
      <c r="H366" s="15">
        <v>3280</v>
      </c>
      <c r="I366">
        <v>3247</v>
      </c>
    </row>
    <row r="367" spans="2:9">
      <c r="B367" t="s">
        <v>63</v>
      </c>
      <c r="C367" s="162"/>
      <c r="D367" s="162">
        <f>D366/C366-1</f>
        <v>1.9942196531791856E-2</v>
      </c>
      <c r="E367" s="162">
        <f>E366/D366-1</f>
        <v>9.9178237461037266E-3</v>
      </c>
      <c r="F367" s="162">
        <f>F366/E366-1</f>
        <v>-3.0022446689113358E-2</v>
      </c>
      <c r="G367" s="162">
        <f>G366/F366-1</f>
        <v>-2.6323401793462486E-2</v>
      </c>
    </row>
    <row r="368" spans="2:9">
      <c r="B368" t="s">
        <v>650</v>
      </c>
      <c r="C368">
        <v>1099</v>
      </c>
      <c r="D368">
        <v>1170</v>
      </c>
      <c r="E368">
        <v>1144</v>
      </c>
      <c r="F368">
        <v>1241</v>
      </c>
      <c r="G368">
        <v>1308</v>
      </c>
      <c r="H368">
        <v>1240.9000000000001</v>
      </c>
    </row>
    <row r="369" spans="2:12">
      <c r="B369" t="s">
        <v>615</v>
      </c>
      <c r="C369">
        <f t="shared" ref="C369:H369" si="36">C366-C368</f>
        <v>2361</v>
      </c>
      <c r="D369">
        <f t="shared" si="36"/>
        <v>2359</v>
      </c>
      <c r="E369">
        <f t="shared" si="36"/>
        <v>2420</v>
      </c>
      <c r="F369">
        <f t="shared" si="36"/>
        <v>2216</v>
      </c>
      <c r="G369">
        <f t="shared" si="36"/>
        <v>2058</v>
      </c>
      <c r="H369" s="15">
        <f t="shared" si="36"/>
        <v>2039.1</v>
      </c>
    </row>
    <row r="370" spans="2:12">
      <c r="B370" t="s">
        <v>653</v>
      </c>
      <c r="C370" s="57">
        <f t="shared" ref="C370:H370" si="37">C369/C382</f>
        <v>0.52670025839793277</v>
      </c>
      <c r="D370" s="57">
        <f t="shared" si="37"/>
        <v>0.50871705790297339</v>
      </c>
      <c r="E370" s="57">
        <f t="shared" si="37"/>
        <v>0.50424236972085101</v>
      </c>
      <c r="F370" s="57">
        <f t="shared" si="37"/>
        <v>0.44584285112188271</v>
      </c>
      <c r="G370" s="57">
        <f t="shared" si="37"/>
        <v>0.39959664913846132</v>
      </c>
      <c r="H370" s="57">
        <f t="shared" si="37"/>
        <v>0.38177977836411608</v>
      </c>
    </row>
    <row r="372" spans="2:12">
      <c r="B372" s="108" t="s">
        <v>649</v>
      </c>
      <c r="C372" s="108"/>
      <c r="D372" s="108"/>
      <c r="E372" s="108">
        <v>2009</v>
      </c>
      <c r="F372" s="108">
        <f>F358</f>
        <v>2010</v>
      </c>
      <c r="G372" s="108">
        <f>G358</f>
        <v>2011</v>
      </c>
      <c r="H372" s="108">
        <f>H358</f>
        <v>2012</v>
      </c>
      <c r="I372" s="270">
        <f>I358</f>
        <v>41426</v>
      </c>
      <c r="J372" s="270">
        <v>41609</v>
      </c>
      <c r="K372" s="14"/>
    </row>
    <row r="373" spans="2:12">
      <c r="B373" t="s">
        <v>134</v>
      </c>
      <c r="E373" s="15">
        <v>756</v>
      </c>
      <c r="F373" s="15">
        <f>Questions!E114</f>
        <v>821.5</v>
      </c>
      <c r="G373" s="15">
        <v>848.44100000000003</v>
      </c>
      <c r="H373" s="15">
        <v>900</v>
      </c>
      <c r="I373" s="15">
        <v>881</v>
      </c>
      <c r="J373" s="57"/>
      <c r="K373" s="57"/>
    </row>
    <row r="374" spans="2:12">
      <c r="B374" t="s">
        <v>211</v>
      </c>
      <c r="E374">
        <v>654</v>
      </c>
      <c r="F374">
        <v>698</v>
      </c>
      <c r="G374" s="15">
        <v>762</v>
      </c>
      <c r="H374" s="15">
        <v>815</v>
      </c>
      <c r="I374" s="15">
        <v>858</v>
      </c>
      <c r="J374" s="57"/>
      <c r="K374" s="57"/>
    </row>
    <row r="375" spans="2:12">
      <c r="B375" t="s">
        <v>647</v>
      </c>
      <c r="E375">
        <v>97</v>
      </c>
      <c r="F375">
        <v>132</v>
      </c>
      <c r="G375" s="15">
        <v>194.2</v>
      </c>
      <c r="H375" s="15">
        <v>229</v>
      </c>
      <c r="I375" s="15">
        <v>253</v>
      </c>
      <c r="J375" s="57"/>
      <c r="K375" s="57"/>
    </row>
    <row r="376" spans="2:12">
      <c r="B376" t="s">
        <v>212</v>
      </c>
      <c r="E376" s="15">
        <v>133</v>
      </c>
      <c r="F376" s="15">
        <v>141.1</v>
      </c>
      <c r="G376" s="15">
        <v>156.30000000000001</v>
      </c>
      <c r="H376" s="15">
        <v>168</v>
      </c>
      <c r="I376" s="15">
        <v>175</v>
      </c>
      <c r="J376" s="57"/>
      <c r="K376" s="57"/>
    </row>
    <row r="377" spans="2:12">
      <c r="B377" t="s">
        <v>133</v>
      </c>
      <c r="E377">
        <v>25</v>
      </c>
      <c r="F377">
        <v>21.9</v>
      </c>
      <c r="G377" s="15">
        <v>20</v>
      </c>
      <c r="H377" s="15">
        <v>20</v>
      </c>
      <c r="I377" s="15">
        <v>30</v>
      </c>
      <c r="J377" s="57"/>
      <c r="K377" s="57"/>
    </row>
    <row r="378" spans="2:12">
      <c r="B378" s="108" t="s">
        <v>648</v>
      </c>
      <c r="C378" s="108"/>
      <c r="D378" s="108"/>
      <c r="E378" s="108">
        <v>29</v>
      </c>
      <c r="F378" s="108">
        <v>37.4</v>
      </c>
      <c r="G378" s="246">
        <v>43.8</v>
      </c>
      <c r="H378" s="246">
        <f>H379-SUM(H373:H377)</f>
        <v>52</v>
      </c>
      <c r="I378" s="246">
        <f>I379-SUM(I373:I377)</f>
        <v>45</v>
      </c>
      <c r="J378" s="244"/>
      <c r="K378" s="57"/>
    </row>
    <row r="379" spans="2:12">
      <c r="B379" t="s">
        <v>68</v>
      </c>
      <c r="E379" s="15">
        <f>SUM(E373:E378)</f>
        <v>1694</v>
      </c>
      <c r="F379" s="15">
        <v>1819</v>
      </c>
      <c r="G379" s="15">
        <v>2025</v>
      </c>
      <c r="H379" s="15">
        <v>2184</v>
      </c>
      <c r="I379" s="15">
        <v>2242</v>
      </c>
      <c r="J379" s="15">
        <v>2292</v>
      </c>
      <c r="K379" s="15"/>
    </row>
    <row r="380" spans="2:12">
      <c r="B380" t="s">
        <v>650</v>
      </c>
      <c r="C380">
        <v>170.7</v>
      </c>
      <c r="D380">
        <v>160.69999999999999</v>
      </c>
      <c r="E380" s="15">
        <v>182.227</v>
      </c>
      <c r="F380" s="15">
        <v>236.43700000000001</v>
      </c>
      <c r="G380" s="15">
        <v>293.505</v>
      </c>
      <c r="H380" s="15">
        <v>291</v>
      </c>
      <c r="I380" s="15">
        <v>279</v>
      </c>
      <c r="J380" s="15">
        <v>286</v>
      </c>
      <c r="K380" s="15"/>
    </row>
    <row r="381" spans="2:12">
      <c r="B381" t="s">
        <v>164</v>
      </c>
      <c r="C381">
        <v>1161</v>
      </c>
      <c r="D381">
        <v>1278</v>
      </c>
      <c r="E381" s="15">
        <f>E379-E380</f>
        <v>1511.7729999999999</v>
      </c>
      <c r="F381" s="15">
        <f>F379-F380</f>
        <v>1582.5630000000001</v>
      </c>
      <c r="G381" s="15">
        <f>G379-G380</f>
        <v>1731.4949999999999</v>
      </c>
      <c r="H381" s="15">
        <v>1895</v>
      </c>
      <c r="I381" s="15">
        <v>1973</v>
      </c>
      <c r="J381" s="15">
        <f>J379-J380</f>
        <v>2006</v>
      </c>
      <c r="K381" s="15"/>
    </row>
    <row r="382" spans="2:12">
      <c r="B382" t="s">
        <v>651</v>
      </c>
      <c r="C382" s="15">
        <f t="shared" ref="C382:J382" si="38">C381/C383</f>
        <v>4482.6254826254826</v>
      </c>
      <c r="D382" s="15">
        <f t="shared" si="38"/>
        <v>4637.1552975326558</v>
      </c>
      <c r="E382" s="15">
        <f t="shared" si="38"/>
        <v>4799.2793650793647</v>
      </c>
      <c r="F382" s="15">
        <f t="shared" si="38"/>
        <v>4970.3611809045224</v>
      </c>
      <c r="G382" s="15">
        <f t="shared" si="38"/>
        <v>5150.1933372992262</v>
      </c>
      <c r="H382" s="15">
        <f t="shared" si="38"/>
        <v>5341.0372040586244</v>
      </c>
      <c r="I382" s="15">
        <f t="shared" si="38"/>
        <v>5450.2762430939229</v>
      </c>
      <c r="J382" s="15">
        <f t="shared" si="38"/>
        <v>5541.4364640883978</v>
      </c>
      <c r="K382" s="15"/>
    </row>
    <row r="383" spans="2:12">
      <c r="B383" t="s">
        <v>652</v>
      </c>
      <c r="C383" s="57">
        <v>0.25900000000000001</v>
      </c>
      <c r="D383" s="57">
        <v>0.27560000000000001</v>
      </c>
      <c r="E383" s="57">
        <v>0.315</v>
      </c>
      <c r="F383" s="57">
        <v>0.31840000000000002</v>
      </c>
      <c r="G383" s="57">
        <v>0.3362</v>
      </c>
      <c r="H383" s="57">
        <v>0.3548</v>
      </c>
      <c r="I383" s="57">
        <v>0.36199999999999999</v>
      </c>
      <c r="J383" s="57">
        <v>0.36199999999999999</v>
      </c>
      <c r="K383" s="57"/>
    </row>
    <row r="384" spans="2:12">
      <c r="L384" s="57">
        <f>600/L386</f>
        <v>0.11537064284899877</v>
      </c>
    </row>
    <row r="385" spans="2:12">
      <c r="F385">
        <v>2010</v>
      </c>
      <c r="G385">
        <f>F385+1</f>
        <v>2011</v>
      </c>
      <c r="H385">
        <f>G385+1</f>
        <v>2012</v>
      </c>
      <c r="I385">
        <f>H385+1</f>
        <v>2013</v>
      </c>
      <c r="J385">
        <f>I385+1</f>
        <v>2014</v>
      </c>
      <c r="L385">
        <f>J385+1</f>
        <v>2015</v>
      </c>
    </row>
    <row r="386" spans="2:12">
      <c r="B386" t="s">
        <v>658</v>
      </c>
      <c r="F386" s="15">
        <f>F381+C295</f>
        <v>3511.5630000000001</v>
      </c>
      <c r="G386" s="15">
        <f>G381+D295</f>
        <v>3798.4949999999999</v>
      </c>
      <c r="H386" s="15">
        <f>(1+H387)*G386</f>
        <v>4108.8723924431933</v>
      </c>
      <c r="I386" s="15">
        <f>(1+I387)*H386</f>
        <v>4444.6109149496979</v>
      </c>
      <c r="J386" s="15">
        <f>(1+J387)*I386</f>
        <v>4807.7828412538383</v>
      </c>
      <c r="K386" s="15"/>
      <c r="L386" s="15">
        <f>(1+L387)*J386</f>
        <v>5200.6297718675405</v>
      </c>
    </row>
    <row r="387" spans="2:12">
      <c r="B387" t="s">
        <v>63</v>
      </c>
      <c r="F387" s="15"/>
      <c r="G387" s="57">
        <f>G386/F386-1</f>
        <v>8.1710622876479677E-2</v>
      </c>
      <c r="H387" s="57">
        <f>G387</f>
        <v>8.1710622876479677E-2</v>
      </c>
      <c r="I387" s="57">
        <f>H387</f>
        <v>8.1710622876479677E-2</v>
      </c>
      <c r="J387" s="57">
        <f>I387</f>
        <v>8.1710622876479677E-2</v>
      </c>
      <c r="K387" s="57"/>
      <c r="L387" s="57">
        <f>J387</f>
        <v>8.1710622876479677E-2</v>
      </c>
    </row>
    <row r="388" spans="2:12">
      <c r="B388" t="s">
        <v>657</v>
      </c>
      <c r="E388" s="15"/>
      <c r="F388" s="15">
        <f>F381+F369+C295</f>
        <v>5727.5630000000001</v>
      </c>
      <c r="G388" s="15">
        <f>G381+G369+D295</f>
        <v>5856.4949999999999</v>
      </c>
    </row>
    <row r="389" spans="2:12">
      <c r="G389" s="57">
        <f>G388/F388-1</f>
        <v>2.2510795603644995E-2</v>
      </c>
    </row>
    <row r="390" spans="2:12" ht="14.7" thickBot="1"/>
    <row r="391" spans="2:12">
      <c r="B391" s="253">
        <v>2000</v>
      </c>
      <c r="C391" s="253" t="s">
        <v>656</v>
      </c>
      <c r="D391" s="251">
        <v>3302498</v>
      </c>
      <c r="E391" s="250"/>
      <c r="F391" s="257">
        <v>21.327442800926203</v>
      </c>
      <c r="G391" s="259">
        <v>0.84644449524965581</v>
      </c>
    </row>
    <row r="392" spans="2:12">
      <c r="B392" s="253">
        <v>2001</v>
      </c>
      <c r="C392" s="253" t="s">
        <v>656</v>
      </c>
      <c r="D392" s="251">
        <v>3478492</v>
      </c>
      <c r="E392" s="250">
        <v>5.3291175346661834E-2</v>
      </c>
      <c r="F392" s="255">
        <v>22.214530335149284</v>
      </c>
      <c r="G392" s="260">
        <v>0.87472518145612987</v>
      </c>
    </row>
    <row r="393" spans="2:12">
      <c r="B393" s="253">
        <v>2002</v>
      </c>
      <c r="C393" s="253" t="s">
        <v>656</v>
      </c>
      <c r="D393" s="251">
        <v>3467013</v>
      </c>
      <c r="E393" s="250">
        <v>-3.2999932154508249E-3</v>
      </c>
      <c r="F393" s="255">
        <v>21.898029715268574</v>
      </c>
      <c r="G393" s="260">
        <v>0.85543519396267742</v>
      </c>
    </row>
    <row r="394" spans="2:12">
      <c r="B394" s="253">
        <v>2003</v>
      </c>
      <c r="C394" s="253" t="s">
        <v>656</v>
      </c>
      <c r="D394" s="251">
        <v>3252063</v>
      </c>
      <c r="E394" s="250">
        <v>-6.1998613792333623E-2</v>
      </c>
      <c r="F394" s="255">
        <v>20.317227494373981</v>
      </c>
      <c r="G394" s="260">
        <v>0.78734743623141901</v>
      </c>
    </row>
    <row r="395" spans="2:12">
      <c r="B395" s="253">
        <v>2004</v>
      </c>
      <c r="C395" s="253" t="s">
        <v>656</v>
      </c>
      <c r="D395" s="251">
        <v>3345102</v>
      </c>
      <c r="E395" s="250">
        <v>2.8609224360044649E-2</v>
      </c>
      <c r="F395" s="255">
        <v>20.673881229485506</v>
      </c>
      <c r="G395" s="260">
        <v>0.79653016527483866</v>
      </c>
    </row>
    <row r="396" spans="2:12">
      <c r="B396" s="253">
        <v>2005</v>
      </c>
      <c r="C396" s="253" t="s">
        <v>656</v>
      </c>
      <c r="D396" s="251">
        <v>3460645</v>
      </c>
      <c r="E396" s="250">
        <v>3.4540949722908332E-2</v>
      </c>
      <c r="F396" s="255">
        <v>21.166051650586219</v>
      </c>
      <c r="G396" s="260">
        <v>0.81074385294635776</v>
      </c>
    </row>
    <row r="397" spans="2:12">
      <c r="B397" s="253">
        <v>2006</v>
      </c>
      <c r="C397" s="253" t="s">
        <v>656</v>
      </c>
      <c r="D397" s="251">
        <v>3383597</v>
      </c>
      <c r="E397" s="250">
        <v>-2.2264057711784968E-2</v>
      </c>
      <c r="F397" s="255">
        <v>20.487556565469657</v>
      </c>
      <c r="G397" s="260">
        <v>0.78015806077195915</v>
      </c>
    </row>
    <row r="398" spans="2:12">
      <c r="B398" s="253">
        <v>2007</v>
      </c>
      <c r="C398" s="253" t="s">
        <v>656</v>
      </c>
      <c r="D398" s="251">
        <v>3459611</v>
      </c>
      <c r="E398" s="262">
        <v>2.2465441363141103E-2</v>
      </c>
      <c r="F398" s="256">
        <v>20.740109497310527</v>
      </c>
      <c r="G398" s="260">
        <v>0.7715662719541585</v>
      </c>
      <c r="H398" s="57">
        <f>C370</f>
        <v>0.52670025839793277</v>
      </c>
    </row>
    <row r="399" spans="2:12">
      <c r="B399" s="253">
        <v>2008</v>
      </c>
      <c r="C399" s="253" t="s">
        <v>656</v>
      </c>
      <c r="D399" s="251">
        <v>3529645</v>
      </c>
      <c r="E399" s="262">
        <v>2.0243316372852371E-2</v>
      </c>
      <c r="F399" s="256">
        <v>20.952201796288854</v>
      </c>
      <c r="G399" s="260">
        <v>0.76096049742455085</v>
      </c>
      <c r="H399" s="57">
        <f>D370</f>
        <v>0.50871705790297339</v>
      </c>
    </row>
    <row r="400" spans="2:12">
      <c r="B400" s="253">
        <v>2009</v>
      </c>
      <c r="C400" s="253" t="s">
        <v>656</v>
      </c>
      <c r="D400" s="251">
        <v>3564351</v>
      </c>
      <c r="E400" s="262">
        <v>9.8327168879590587E-3</v>
      </c>
      <c r="F400" s="256">
        <v>20.952503166079381</v>
      </c>
      <c r="G400" s="260">
        <v>0.74236560231114668</v>
      </c>
      <c r="H400" s="57">
        <f>E370</f>
        <v>0.50424236972085101</v>
      </c>
    </row>
    <row r="401" spans="2:9">
      <c r="B401" s="253">
        <v>2010</v>
      </c>
      <c r="C401" s="253" t="s">
        <v>656</v>
      </c>
      <c r="D401" s="251">
        <v>3457506</v>
      </c>
      <c r="E401" s="262">
        <v>-2.9976004046739502E-2</v>
      </c>
      <c r="F401" s="256">
        <v>20.135303765207901</v>
      </c>
      <c r="G401" s="260">
        <v>0.69541388149605854</v>
      </c>
      <c r="H401" s="57">
        <f>F370</f>
        <v>0.44584285112188271</v>
      </c>
    </row>
    <row r="402" spans="2:9" ht="14.7" thickBot="1">
      <c r="B402" s="254">
        <v>2011</v>
      </c>
      <c r="C402" s="254" t="s">
        <v>656</v>
      </c>
      <c r="D402" s="252">
        <v>3366325</v>
      </c>
      <c r="E402" s="263">
        <v>-2.6371899282315092E-2</v>
      </c>
      <c r="F402" s="258">
        <v>19.429841724990951</v>
      </c>
      <c r="G402" s="261">
        <v>0.65355596907087776</v>
      </c>
      <c r="H402" s="57">
        <f>G370</f>
        <v>0.39959664913846132</v>
      </c>
    </row>
    <row r="405" spans="2:9">
      <c r="C405">
        <v>2009</v>
      </c>
      <c r="D405">
        <v>2010</v>
      </c>
      <c r="E405">
        <f>D405+1</f>
        <v>2011</v>
      </c>
      <c r="F405">
        <f>E405+1</f>
        <v>2012</v>
      </c>
      <c r="G405">
        <f>F405+1</f>
        <v>2013</v>
      </c>
      <c r="H405">
        <f>G405+1</f>
        <v>2014</v>
      </c>
      <c r="I405">
        <f>H405+1</f>
        <v>2015</v>
      </c>
    </row>
    <row r="406" spans="2:9">
      <c r="B406" t="s">
        <v>659</v>
      </c>
      <c r="C406" s="57">
        <f>'Master old'!K256</f>
        <v>0.26242546530460825</v>
      </c>
      <c r="D406" s="57">
        <f>'Master old'!L256</f>
        <v>0.26751630450784675</v>
      </c>
      <c r="E406" s="57">
        <f>'Master old'!M256</f>
        <v>0.28884008977246628</v>
      </c>
      <c r="F406" s="57">
        <f>'Master old'!N256</f>
        <v>0.26436822292919365</v>
      </c>
      <c r="G406" s="57">
        <f>'Master old'!O256</f>
        <v>0.2227135708056581</v>
      </c>
      <c r="H406" s="57">
        <f>'Master old'!P256</f>
        <v>0.30883631711249582</v>
      </c>
      <c r="I406" s="57">
        <f>'Master old'!Q256</f>
        <v>0.24165971317400539</v>
      </c>
    </row>
    <row r="407" spans="2:9">
      <c r="B407" t="s">
        <v>660</v>
      </c>
      <c r="C407" s="57">
        <f>'Master old'!K252</f>
        <v>0.18902330519337548</v>
      </c>
      <c r="D407" s="57">
        <f>'Master old'!L252</f>
        <v>0.18436975532196803</v>
      </c>
      <c r="E407" s="57">
        <f>'Master old'!M252</f>
        <v>0.19832139993472558</v>
      </c>
      <c r="F407" s="57">
        <f>'Master old'!N252</f>
        <v>0.17575689435958936</v>
      </c>
      <c r="G407" s="57">
        <f>'Master old'!O252</f>
        <v>0.2227135708056581</v>
      </c>
      <c r="H407" s="57">
        <f>'Master old'!P252</f>
        <v>0.30883631711249582</v>
      </c>
      <c r="I407" s="57">
        <f>'Master old'!Q252</f>
        <v>0.24165971317400539</v>
      </c>
    </row>
    <row r="431" spans="2:11">
      <c r="B431" s="108"/>
      <c r="C431" s="141" t="str">
        <f>Interims!CC3</f>
        <v>Q4 10</v>
      </c>
      <c r="D431" s="141" t="str">
        <f>Interims!CD3</f>
        <v>Q1 11</v>
      </c>
      <c r="E431" s="141" t="str">
        <f>Interims!CE3</f>
        <v>Q2 11</v>
      </c>
      <c r="F431" s="141" t="str">
        <f>Interims!CF3</f>
        <v>Q3 11</v>
      </c>
      <c r="G431" s="141" t="str">
        <f>Interims!CG3</f>
        <v>Q4 11</v>
      </c>
      <c r="H431" s="141" t="str">
        <f>Interims!CH3</f>
        <v>Q1 12</v>
      </c>
      <c r="I431" s="141" t="str">
        <f>Interims!CI3</f>
        <v>Q2 12</v>
      </c>
      <c r="J431" s="141" t="str">
        <f>Interims!CJ3</f>
        <v>Q3 12</v>
      </c>
      <c r="K431" s="178"/>
    </row>
    <row r="432" spans="2:11">
      <c r="B432" t="s">
        <v>683</v>
      </c>
      <c r="C432" s="57">
        <f>Interims!CC123</f>
        <v>0.20154604526103514</v>
      </c>
      <c r="D432" s="57">
        <f>Interims!CD123</f>
        <v>0.19161006001000169</v>
      </c>
      <c r="E432" s="57">
        <f>Interims!CE123</f>
        <v>0.1409876746654517</v>
      </c>
      <c r="F432" s="57">
        <f>Interims!CF123</f>
        <v>0.16523171407192905</v>
      </c>
      <c r="G432" s="57">
        <f>Interims!CG123</f>
        <v>0.11347743165924995</v>
      </c>
      <c r="H432" s="57">
        <f>Interims!CH123</f>
        <v>0.18474236178202497</v>
      </c>
      <c r="I432" s="57">
        <f>Interims!CI123</f>
        <v>0.16881467384840199</v>
      </c>
      <c r="J432" s="57">
        <f>Interims!CJ123</f>
        <v>0.15943140925940602</v>
      </c>
      <c r="K432" s="57"/>
    </row>
    <row r="433" spans="2:14">
      <c r="B433" t="str">
        <f>Interims!B124</f>
        <v>Chile fixed</v>
      </c>
      <c r="C433" s="57">
        <f>Interims!CC124</f>
        <v>7.808503540052647E-2</v>
      </c>
      <c r="D433" s="57">
        <f>Interims!CD124</f>
        <v>8.2068037670574689E-2</v>
      </c>
      <c r="E433" s="57">
        <f>Interims!CE124</f>
        <v>9.3137068210382035E-2</v>
      </c>
      <c r="F433" s="57">
        <f>Interims!CF124</f>
        <v>8.959213428539381E-2</v>
      </c>
      <c r="G433" s="57">
        <f>Interims!CG124</f>
        <v>7.672735399797137E-2</v>
      </c>
      <c r="H433" s="57">
        <f>Interims!CH124</f>
        <v>5.319715808170522E-2</v>
      </c>
      <c r="I433" s="57">
        <f>Interims!CI124</f>
        <v>0.12420520860552209</v>
      </c>
      <c r="J433" s="57">
        <f>Interims!CJ124</f>
        <v>0.10490470226964721</v>
      </c>
      <c r="K433" s="57"/>
    </row>
    <row r="434" spans="2:14">
      <c r="B434" t="str">
        <f>Interims!B125</f>
        <v>Peru fixed</v>
      </c>
      <c r="C434" s="57">
        <f>Interims!CC125</f>
        <v>-4.9679155454357415E-3</v>
      </c>
      <c r="D434" s="57">
        <f>Interims!CD125</f>
        <v>-4.8650858544562525E-2</v>
      </c>
      <c r="E434" s="57">
        <f>Interims!CE125</f>
        <v>-8.2894203486015394E-2</v>
      </c>
      <c r="F434" s="57">
        <f>Interims!CF125</f>
        <v>1.4859773964001732E-2</v>
      </c>
      <c r="G434" s="57">
        <f>Interims!CG125</f>
        <v>6.4905346369877215E-2</v>
      </c>
      <c r="H434" s="57">
        <f>Interims!CH125</f>
        <v>0.13171465406102278</v>
      </c>
      <c r="I434" s="57">
        <f>Interims!CI125</f>
        <v>0.15513812154696138</v>
      </c>
      <c r="J434" s="57">
        <f>Interims!CJ125</f>
        <v>2.0829036914827848E-2</v>
      </c>
      <c r="K434" s="57"/>
    </row>
    <row r="435" spans="2:14">
      <c r="B435" t="s">
        <v>426</v>
      </c>
      <c r="C435" s="57">
        <f>Interims!CC128</f>
        <v>0.16602969932818334</v>
      </c>
      <c r="D435" s="57">
        <f>Interims!CD128</f>
        <v>0.15335809043531445</v>
      </c>
      <c r="E435" s="57">
        <f>Interims!CE128</f>
        <v>0.13042386632340652</v>
      </c>
      <c r="F435" s="57">
        <f>Interims!CF128</f>
        <v>0.15050214831824338</v>
      </c>
      <c r="G435" s="57">
        <f>Interims!CG128</f>
        <v>0.12245751877077571</v>
      </c>
      <c r="H435" s="57">
        <f>Interims!CH128</f>
        <v>0.15678007881163736</v>
      </c>
      <c r="I435" s="57">
        <f>Interims!CI128</f>
        <v>0.1657279625534962</v>
      </c>
      <c r="J435" s="57">
        <f>Interims!CJ128</f>
        <v>0.15029466349754173</v>
      </c>
      <c r="K435" s="57"/>
    </row>
    <row r="437" spans="2:14">
      <c r="B437" s="108" t="s">
        <v>675</v>
      </c>
      <c r="C437" s="141" t="str">
        <f>F431</f>
        <v>Q3 11</v>
      </c>
      <c r="D437" s="141" t="str">
        <f>G431</f>
        <v>Q4 11</v>
      </c>
      <c r="E437" s="141" t="str">
        <f>H431</f>
        <v>Q1 12</v>
      </c>
      <c r="F437" s="141" t="str">
        <f>I431</f>
        <v>Q2 12</v>
      </c>
      <c r="G437" s="141" t="str">
        <f>J431</f>
        <v>Q3 12</v>
      </c>
      <c r="I437" s="141" t="str">
        <f>C437</f>
        <v>Q3 11</v>
      </c>
      <c r="J437" s="141" t="str">
        <f>D437</f>
        <v>Q4 11</v>
      </c>
      <c r="K437" s="141"/>
      <c r="L437" s="141" t="str">
        <f>E437</f>
        <v>Q1 12</v>
      </c>
      <c r="M437" s="141" t="str">
        <f>F437</f>
        <v>Q2 12</v>
      </c>
      <c r="N437" s="141" t="str">
        <f>G437</f>
        <v>Q3 12</v>
      </c>
    </row>
    <row r="438" spans="2:14">
      <c r="B438" t="s">
        <v>670</v>
      </c>
      <c r="C438">
        <f>Interims!U183</f>
        <v>174367</v>
      </c>
      <c r="D438">
        <f>Interims!V183</f>
        <v>221546</v>
      </c>
      <c r="E438">
        <f>Interims!W183</f>
        <v>199672</v>
      </c>
      <c r="F438">
        <f>Interims!X183</f>
        <v>210303</v>
      </c>
      <c r="G438">
        <f>Interims!Y183</f>
        <v>209331</v>
      </c>
      <c r="I438" s="57">
        <f>Interims!CF183</f>
        <v>0.16452728875591061</v>
      </c>
      <c r="J438" s="57">
        <f>Interims!CG183</f>
        <v>0.19419574275411144</v>
      </c>
      <c r="K438" s="57"/>
      <c r="L438" s="57">
        <f>Interims!CH183</f>
        <v>0.23804563492063502</v>
      </c>
      <c r="M438" s="57">
        <f>Interims!CI183</f>
        <v>0.24791868172296949</v>
      </c>
      <c r="N438" s="57">
        <f>Interims!CJ183</f>
        <v>0.20051959373046513</v>
      </c>
    </row>
    <row r="439" spans="2:14">
      <c r="B439" t="s">
        <v>180</v>
      </c>
      <c r="C439">
        <f>Interims!U165</f>
        <v>28527</v>
      </c>
      <c r="D439">
        <f>Interims!V165</f>
        <v>33141</v>
      </c>
      <c r="E439">
        <f>Interims!W165</f>
        <v>40476</v>
      </c>
      <c r="F439">
        <f>Interims!X165</f>
        <v>45360</v>
      </c>
      <c r="G439">
        <f>Interims!Y165</f>
        <v>41843</v>
      </c>
      <c r="I439" s="57">
        <f>Interims!CF165</f>
        <v>0.34892188386608658</v>
      </c>
      <c r="J439" s="57">
        <f>Interims!CG165</f>
        <v>0.25934792521659822</v>
      </c>
      <c r="K439" s="57"/>
      <c r="L439" s="57">
        <f>Interims!CH165</f>
        <v>0.71763208147676649</v>
      </c>
      <c r="M439" s="57">
        <f>Interims!CI165</f>
        <v>0.67423319676669258</v>
      </c>
      <c r="N439" s="57">
        <f>Interims!CJ165</f>
        <v>0.46678585199985978</v>
      </c>
    </row>
    <row r="440" spans="2:14">
      <c r="B440" t="s">
        <v>671</v>
      </c>
      <c r="C440">
        <f>C438+C439</f>
        <v>202894</v>
      </c>
      <c r="D440">
        <f>D438+D439</f>
        <v>254687</v>
      </c>
      <c r="E440">
        <f>E438+E439</f>
        <v>240148</v>
      </c>
      <c r="F440">
        <f>F438+F439</f>
        <v>255663</v>
      </c>
      <c r="G440">
        <f>G438+G439</f>
        <v>251174</v>
      </c>
      <c r="I440" s="57" t="e">
        <f>Interims!CF184</f>
        <v>#DIV/0!</v>
      </c>
      <c r="J440" s="57" t="e">
        <f>Interims!CG184</f>
        <v>#DIV/0!</v>
      </c>
      <c r="K440" s="57"/>
      <c r="L440" s="57" t="e">
        <f>Interims!CH184</f>
        <v>#DIV/0!</v>
      </c>
      <c r="M440" s="57" t="e">
        <f>Interims!CI184</f>
        <v>#DIV/0!</v>
      </c>
      <c r="N440" s="57" t="e">
        <f>Interims!CJ184</f>
        <v>#DIV/0!</v>
      </c>
    </row>
    <row r="443" spans="2:14">
      <c r="B443" s="108" t="s">
        <v>675</v>
      </c>
      <c r="C443" s="141" t="str">
        <f>E437</f>
        <v>Q1 12</v>
      </c>
      <c r="D443" s="141" t="str">
        <f>F437</f>
        <v>Q2 12</v>
      </c>
      <c r="E443" s="141" t="str">
        <f>G437</f>
        <v>Q3 12</v>
      </c>
      <c r="F443" s="141" t="s">
        <v>599</v>
      </c>
      <c r="G443" s="108">
        <v>2012</v>
      </c>
      <c r="H443" s="108" t="s">
        <v>678</v>
      </c>
    </row>
    <row r="444" spans="2:14">
      <c r="B444" t="s">
        <v>676</v>
      </c>
      <c r="C444" s="166">
        <f>Interims!W164</f>
        <v>35042</v>
      </c>
      <c r="D444" s="166">
        <f>Interims!X164</f>
        <v>76523</v>
      </c>
      <c r="E444" s="166">
        <f>Interims!Y164</f>
        <v>52128</v>
      </c>
      <c r="F444" s="166">
        <f>G444-C444-D444-E444</f>
        <v>89553</v>
      </c>
      <c r="G444" s="166">
        <f>'Master old'!N251</f>
        <v>253246</v>
      </c>
      <c r="H444" s="15">
        <f>G444/'Master old'!$N$52</f>
        <v>521.082304526749</v>
      </c>
    </row>
    <row r="445" spans="2:14">
      <c r="B445" t="s">
        <v>85</v>
      </c>
      <c r="C445" s="57">
        <f>Interims!W168</f>
        <v>0.10299473005105354</v>
      </c>
      <c r="D445" s="57">
        <f>Interims!X168</f>
        <v>0.21761126119721313</v>
      </c>
      <c r="E445" s="57">
        <f>Interims!Y168</f>
        <v>0.14755017124741712</v>
      </c>
      <c r="F445" s="57" t="e">
        <f>Interims!#REF!</f>
        <v>#REF!</v>
      </c>
      <c r="G445" s="57">
        <f>'Master old'!N252</f>
        <v>0.17575689435958936</v>
      </c>
    </row>
    <row r="446" spans="2:14">
      <c r="B446" s="108" t="s">
        <v>677</v>
      </c>
      <c r="C446" s="268">
        <f>E439</f>
        <v>40476</v>
      </c>
      <c r="D446" s="268">
        <f>F439</f>
        <v>45360</v>
      </c>
      <c r="E446" s="268">
        <f>G439</f>
        <v>41843</v>
      </c>
      <c r="F446" s="268">
        <f>G446-C446-D446-E446</f>
        <v>0</v>
      </c>
      <c r="G446" s="268">
        <f>'Master old'!N254</f>
        <v>127679</v>
      </c>
      <c r="H446" s="246">
        <f>G446/'Master old'!$N$52</f>
        <v>262.71399176954731</v>
      </c>
    </row>
    <row r="447" spans="2:14">
      <c r="B447" t="s">
        <v>610</v>
      </c>
      <c r="C447" s="166">
        <f t="shared" ref="C447:H447" si="39">C444+C446</f>
        <v>75518</v>
      </c>
      <c r="D447" s="166">
        <f t="shared" si="39"/>
        <v>121883</v>
      </c>
      <c r="E447" s="166">
        <f t="shared" si="39"/>
        <v>93971</v>
      </c>
      <c r="F447" s="166">
        <f t="shared" si="39"/>
        <v>89553</v>
      </c>
      <c r="G447" s="166">
        <f t="shared" si="39"/>
        <v>380925</v>
      </c>
      <c r="H447" s="166">
        <f t="shared" si="39"/>
        <v>783.7962962962963</v>
      </c>
    </row>
    <row r="448" spans="2:14">
      <c r="B448" t="s">
        <v>85</v>
      </c>
      <c r="C448" s="166"/>
      <c r="D448" s="166"/>
      <c r="E448" s="166"/>
      <c r="F448" s="166"/>
      <c r="G448" s="166"/>
      <c r="H448" s="166"/>
    </row>
    <row r="449" spans="2:12">
      <c r="C449" s="57"/>
    </row>
    <row r="450" spans="2:12">
      <c r="B450" s="108" t="s">
        <v>0</v>
      </c>
      <c r="C450" s="141" t="str">
        <f>Interims!S3</f>
        <v>Q1 11</v>
      </c>
      <c r="D450" s="141" t="str">
        <f>Interims!T3</f>
        <v>Q2 11</v>
      </c>
      <c r="E450" s="141" t="str">
        <f>Interims!U3</f>
        <v>Q3 11</v>
      </c>
      <c r="F450" s="141" t="str">
        <f>Interims!V3</f>
        <v>Q4 11</v>
      </c>
      <c r="G450" s="141" t="str">
        <f>Interims!W3</f>
        <v>Q1 12</v>
      </c>
      <c r="H450" s="141" t="str">
        <f>Interims!X3</f>
        <v>Q2 12</v>
      </c>
      <c r="I450" s="141" t="str">
        <f>Interims!Y3</f>
        <v>Q3 12</v>
      </c>
      <c r="J450" s="141" t="str">
        <f>Interims!Z3</f>
        <v>Q4 12</v>
      </c>
      <c r="K450" s="141"/>
      <c r="L450" s="141" t="str">
        <f>Interims!AA3</f>
        <v>Q1 13</v>
      </c>
    </row>
    <row r="451" spans="2:12">
      <c r="B451" t="s">
        <v>686</v>
      </c>
      <c r="C451">
        <f>Interims!S5</f>
        <v>263</v>
      </c>
      <c r="D451">
        <f>Interims!T5</f>
        <v>437</v>
      </c>
      <c r="E451">
        <f>Interims!U5</f>
        <v>301</v>
      </c>
      <c r="F451">
        <f>Interims!V5</f>
        <v>614</v>
      </c>
      <c r="G451">
        <f>Interims!W5</f>
        <v>565</v>
      </c>
      <c r="H451">
        <f>Interims!X5</f>
        <v>67</v>
      </c>
      <c r="I451">
        <f>Interims!Y5</f>
        <v>75</v>
      </c>
      <c r="J451">
        <f>Interims!Z5</f>
        <v>216</v>
      </c>
      <c r="L451">
        <f>Interims!AA5</f>
        <v>27</v>
      </c>
    </row>
    <row r="452" spans="2:12">
      <c r="B452" s="59" t="s">
        <v>687</v>
      </c>
      <c r="C452">
        <f>Interims!S10</f>
        <v>-75</v>
      </c>
      <c r="D452">
        <f>Interims!T10</f>
        <v>138</v>
      </c>
      <c r="E452">
        <f>Interims!U10</f>
        <v>517</v>
      </c>
      <c r="F452">
        <f>Interims!V10</f>
        <v>141</v>
      </c>
      <c r="G452">
        <f>Interims!W10</f>
        <v>154</v>
      </c>
      <c r="H452">
        <f>Interims!X10</f>
        <v>110</v>
      </c>
      <c r="I452">
        <f>Interims!Y10</f>
        <v>82</v>
      </c>
      <c r="J452">
        <f>Interims!Z10</f>
        <v>39</v>
      </c>
      <c r="L452">
        <f>Interims!AA10</f>
        <v>40</v>
      </c>
    </row>
    <row r="453" spans="2:12">
      <c r="B453" s="59" t="s">
        <v>688</v>
      </c>
      <c r="C453">
        <f t="shared" ref="C453:J453" si="40">C451-C452</f>
        <v>338</v>
      </c>
      <c r="D453">
        <f t="shared" si="40"/>
        <v>299</v>
      </c>
      <c r="E453">
        <f t="shared" si="40"/>
        <v>-216</v>
      </c>
      <c r="F453">
        <f t="shared" si="40"/>
        <v>473</v>
      </c>
      <c r="G453">
        <f t="shared" si="40"/>
        <v>411</v>
      </c>
      <c r="H453">
        <f t="shared" si="40"/>
        <v>-43</v>
      </c>
      <c r="I453">
        <f t="shared" si="40"/>
        <v>-7</v>
      </c>
      <c r="J453">
        <f t="shared" si="40"/>
        <v>177</v>
      </c>
      <c r="L453">
        <f>L451-L452</f>
        <v>-13</v>
      </c>
    </row>
    <row r="454" spans="2:12">
      <c r="B454" t="s">
        <v>291</v>
      </c>
      <c r="C454">
        <v>0</v>
      </c>
      <c r="D454">
        <v>0</v>
      </c>
      <c r="E454">
        <v>0</v>
      </c>
      <c r="F454">
        <v>0</v>
      </c>
      <c r="G454">
        <v>0</v>
      </c>
      <c r="H454" s="15">
        <v>29.5</v>
      </c>
      <c r="I454" s="15">
        <v>49.199999999999989</v>
      </c>
      <c r="J454" s="15">
        <v>59.5</v>
      </c>
      <c r="K454" s="15"/>
      <c r="L454" s="15">
        <v>2.4000000000000057</v>
      </c>
    </row>
    <row r="456" spans="2:12">
      <c r="C456" s="178" t="str">
        <f t="shared" ref="C456:J456" si="41">C450</f>
        <v>Q1 11</v>
      </c>
      <c r="D456" s="178" t="str">
        <f t="shared" si="41"/>
        <v>Q2 11</v>
      </c>
      <c r="E456" s="178" t="str">
        <f t="shared" si="41"/>
        <v>Q3 11</v>
      </c>
      <c r="F456" s="178" t="str">
        <f t="shared" si="41"/>
        <v>Q4 11</v>
      </c>
      <c r="G456" s="178" t="str">
        <f t="shared" si="41"/>
        <v>Q1 12</v>
      </c>
      <c r="H456" s="178" t="str">
        <f t="shared" si="41"/>
        <v>Q2 12</v>
      </c>
      <c r="I456" s="178" t="str">
        <f t="shared" si="41"/>
        <v>Q3 12</v>
      </c>
      <c r="J456" s="178" t="str">
        <f t="shared" si="41"/>
        <v>Q4 12</v>
      </c>
      <c r="K456" s="178"/>
      <c r="L456" s="178" t="str">
        <f>L450</f>
        <v>Q1 13</v>
      </c>
    </row>
    <row r="457" spans="2:12">
      <c r="B457" t="s">
        <v>689</v>
      </c>
      <c r="C457" s="57">
        <f>Interims!CD128</f>
        <v>0.15335809043531445</v>
      </c>
      <c r="D457" s="57">
        <f>Interims!CE128</f>
        <v>0.13042386632340652</v>
      </c>
      <c r="E457" s="57">
        <f>Interims!CF128</f>
        <v>0.15050214831824338</v>
      </c>
      <c r="F457" s="57">
        <f>Interims!CG128</f>
        <v>0.12245751877077571</v>
      </c>
      <c r="G457" s="57">
        <f>Interims!CH128</f>
        <v>0.15678007881163736</v>
      </c>
      <c r="H457" s="57">
        <f>Interims!CI128</f>
        <v>0.1657279625534962</v>
      </c>
      <c r="I457" s="57">
        <f>Interims!CJ128</f>
        <v>0.15029466349754173</v>
      </c>
      <c r="J457" s="57">
        <f>Interims!CK128</f>
        <v>0.1189110349132716</v>
      </c>
      <c r="K457" s="57"/>
      <c r="L457" s="57">
        <f>Interims!CL128</f>
        <v>9.0185785539824481E-2</v>
      </c>
    </row>
    <row r="458" spans="2:12">
      <c r="B458" t="s">
        <v>374</v>
      </c>
      <c r="C458" s="162">
        <f>Interims!S156</f>
        <v>0</v>
      </c>
      <c r="D458" s="162">
        <f>Interims!T156</f>
        <v>0</v>
      </c>
      <c r="E458" s="162">
        <f>Interims!U156</f>
        <v>0</v>
      </c>
      <c r="F458" s="162">
        <f>Interims!V156</f>
        <v>0</v>
      </c>
      <c r="G458" s="162">
        <f>Interims!W156</f>
        <v>0</v>
      </c>
      <c r="H458" s="162">
        <f>Interims!X156</f>
        <v>0</v>
      </c>
      <c r="I458" s="162">
        <f>Interims!Y156</f>
        <v>0</v>
      </c>
      <c r="J458" s="162">
        <f>Interims!Z156</f>
        <v>0</v>
      </c>
      <c r="K458" s="162"/>
      <c r="L458" s="162">
        <f>Interims!AA156</f>
        <v>0</v>
      </c>
    </row>
    <row r="493" spans="2:13">
      <c r="B493" s="306" t="s">
        <v>791</v>
      </c>
    </row>
    <row r="495" spans="2:13">
      <c r="B495" s="108" t="s">
        <v>1397</v>
      </c>
      <c r="C495" s="108">
        <v>2011</v>
      </c>
      <c r="D495" s="108">
        <f t="shared" ref="D495:L495" si="42">C495+1</f>
        <v>2012</v>
      </c>
      <c r="E495" s="108">
        <f t="shared" si="42"/>
        <v>2013</v>
      </c>
      <c r="F495" s="108">
        <f t="shared" si="42"/>
        <v>2014</v>
      </c>
      <c r="G495" s="108">
        <f t="shared" si="42"/>
        <v>2015</v>
      </c>
      <c r="H495" s="108">
        <f t="shared" si="42"/>
        <v>2016</v>
      </c>
      <c r="I495" s="108">
        <f t="shared" si="42"/>
        <v>2017</v>
      </c>
      <c r="J495" s="108">
        <f t="shared" si="42"/>
        <v>2018</v>
      </c>
      <c r="K495" s="108">
        <f t="shared" si="42"/>
        <v>2019</v>
      </c>
      <c r="L495" s="108">
        <f t="shared" si="42"/>
        <v>2020</v>
      </c>
      <c r="M495" s="108" t="s">
        <v>1398</v>
      </c>
    </row>
    <row r="496" spans="2:13">
      <c r="B496" t="s">
        <v>133</v>
      </c>
      <c r="C496" s="166">
        <f>(Peru!M136+Peru!M139)</f>
        <v>885.22500000000014</v>
      </c>
      <c r="D496" s="166">
        <f>(Peru!N136+Peru!N139)</f>
        <v>828.96000000000015</v>
      </c>
      <c r="E496" s="166">
        <f>(Peru!O136+Peru!O139)</f>
        <v>725.16859807174001</v>
      </c>
      <c r="F496" s="166">
        <f>(Peru!P136+Peru!P139)</f>
        <v>724.30033525022668</v>
      </c>
      <c r="G496" s="166">
        <f ca="1">(Peru!Q136+Peru!Q139)</f>
        <v>980.85239999999999</v>
      </c>
      <c r="H496" s="166">
        <f ca="1">(Peru!R136+Peru!R139)</f>
        <v>1514.9934980000003</v>
      </c>
      <c r="I496" s="166">
        <f ca="1">(Peru!S136+Peru!S139)</f>
        <v>1936.7189624</v>
      </c>
      <c r="J496" s="166">
        <f ca="1">(Peru!T136+Peru!T139)</f>
        <v>1715.1758485</v>
      </c>
      <c r="K496" s="166">
        <f ca="1">(Peru!U136+Peru!U139)</f>
        <v>1877.4909308877934</v>
      </c>
      <c r="L496" s="166">
        <f ca="1">(Peru!V136+Peru!V139)</f>
        <v>2114.9499879211457</v>
      </c>
      <c r="M496" s="57">
        <f ca="1">(L496/F496)^(1/6)-1</f>
        <v>0.19553850832636943</v>
      </c>
    </row>
    <row r="497" spans="2:13">
      <c r="B497" t="s">
        <v>135</v>
      </c>
      <c r="C497" s="166">
        <v>2853.1506135038503</v>
      </c>
      <c r="D497" s="166">
        <v>3330.6299999999997</v>
      </c>
      <c r="E497" s="166">
        <v>3747.5040000000004</v>
      </c>
      <c r="F497" s="166">
        <v>3835.5975000000003</v>
      </c>
      <c r="G497" s="166">
        <v>3744.380886357043</v>
      </c>
      <c r="H497" s="166">
        <v>3800.9785552249591</v>
      </c>
      <c r="I497" s="166">
        <v>3965.4915005500648</v>
      </c>
      <c r="J497" s="166">
        <v>4162.3553820650604</v>
      </c>
      <c r="K497" s="166">
        <v>4352.1350777484977</v>
      </c>
      <c r="L497" s="166">
        <v>4536.8335910565238</v>
      </c>
      <c r="M497" s="57">
        <f>(L497/F497)^(1/6)-1</f>
        <v>2.8379246900962718E-2</v>
      </c>
    </row>
    <row r="498" spans="2:13">
      <c r="B498" t="s">
        <v>134</v>
      </c>
      <c r="C498" s="166">
        <v>3533.6499200000003</v>
      </c>
      <c r="D498" s="166">
        <v>3875.3802000000005</v>
      </c>
      <c r="E498" s="166">
        <v>4163.3589000000002</v>
      </c>
      <c r="F498" s="166">
        <v>4707.3162499999999</v>
      </c>
      <c r="G498" s="166">
        <v>5248.1436817888989</v>
      </c>
      <c r="H498" s="166">
        <v>5603.1727058576262</v>
      </c>
      <c r="I498" s="396">
        <f>H498*1.025</f>
        <v>5743.2520235040665</v>
      </c>
      <c r="J498" s="396">
        <f>I498*1.025</f>
        <v>5886.8333240916672</v>
      </c>
      <c r="K498" s="396">
        <f>J498*1.025</f>
        <v>6034.0041571939582</v>
      </c>
      <c r="L498" s="396">
        <f>K498*1.025</f>
        <v>6184.8542611238063</v>
      </c>
      <c r="M498" s="57">
        <f>(L498/F498)^(1/6)-1</f>
        <v>4.6548474572706278E-2</v>
      </c>
    </row>
    <row r="499" spans="2:13">
      <c r="B499" s="108" t="s">
        <v>1376</v>
      </c>
      <c r="C499" s="268"/>
      <c r="D499" s="268"/>
      <c r="E499" s="268"/>
      <c r="F499" s="268">
        <v>150</v>
      </c>
      <c r="G499" s="268">
        <f>F499+100</f>
        <v>250</v>
      </c>
      <c r="H499" s="268">
        <f>G499+75</f>
        <v>325</v>
      </c>
      <c r="I499" s="268">
        <f>H499+50</f>
        <v>375</v>
      </c>
      <c r="J499" s="268">
        <f>I499+50</f>
        <v>425</v>
      </c>
      <c r="K499" s="268">
        <f>J499+50</f>
        <v>475</v>
      </c>
      <c r="L499" s="268">
        <f>K499+50</f>
        <v>525</v>
      </c>
      <c r="M499" s="244">
        <f>(L499/F499)^(1/6)-1</f>
        <v>0.23219092917365347</v>
      </c>
    </row>
    <row r="500" spans="2:13">
      <c r="B500" t="s">
        <v>644</v>
      </c>
      <c r="C500" s="166">
        <f t="shared" ref="C500:L500" si="43">SUM(C496:C499)</f>
        <v>7272.025533503851</v>
      </c>
      <c r="D500" s="166">
        <f t="shared" si="43"/>
        <v>8034.9702000000007</v>
      </c>
      <c r="E500" s="166">
        <f t="shared" si="43"/>
        <v>8636.0314980717412</v>
      </c>
      <c r="F500" s="166">
        <f t="shared" si="43"/>
        <v>9417.2140852502271</v>
      </c>
      <c r="G500" s="166">
        <f t="shared" ca="1" si="43"/>
        <v>10223.376968145942</v>
      </c>
      <c r="H500" s="166">
        <f t="shared" ca="1" si="43"/>
        <v>11244.144759082585</v>
      </c>
      <c r="I500" s="166">
        <f t="shared" ca="1" si="43"/>
        <v>12020.462486454131</v>
      </c>
      <c r="J500" s="166">
        <f t="shared" ca="1" si="43"/>
        <v>12189.364554656728</v>
      </c>
      <c r="K500" s="166">
        <f t="shared" ca="1" si="43"/>
        <v>12738.630165830249</v>
      </c>
      <c r="L500" s="166">
        <f t="shared" ca="1" si="43"/>
        <v>13361.637840101475</v>
      </c>
      <c r="M500" s="57">
        <f ca="1">(L500/F500)^(1/6)-1</f>
        <v>6.0041518273173056E-2</v>
      </c>
    </row>
    <row r="501" spans="2:13">
      <c r="B501" t="s">
        <v>612</v>
      </c>
      <c r="D501" s="57">
        <f t="shared" ref="D501:L501" si="44">D500/C500-1</f>
        <v>0.10491501480310994</v>
      </c>
      <c r="E501" s="57">
        <f t="shared" si="44"/>
        <v>7.4805666120795422E-2</v>
      </c>
      <c r="F501" s="57">
        <f t="shared" si="44"/>
        <v>9.0456199395857695E-2</v>
      </c>
      <c r="G501" s="57">
        <f t="shared" ca="1" si="44"/>
        <v>8.5605241167700852E-2</v>
      </c>
      <c r="H501" s="57">
        <f t="shared" ca="1" si="44"/>
        <v>9.9846439597909509E-2</v>
      </c>
      <c r="I501" s="57">
        <f t="shared" ca="1" si="44"/>
        <v>6.9041954190821597E-2</v>
      </c>
      <c r="J501" s="57">
        <f t="shared" ca="1" si="44"/>
        <v>1.405121212207372E-2</v>
      </c>
      <c r="K501" s="57">
        <f t="shared" ca="1" si="44"/>
        <v>4.506105373341085E-2</v>
      </c>
      <c r="L501" s="57">
        <f t="shared" ca="1" si="44"/>
        <v>4.8906959866247268E-2</v>
      </c>
    </row>
    <row r="503" spans="2:13">
      <c r="B503" s="108" t="s">
        <v>792</v>
      </c>
      <c r="C503" s="108">
        <f t="shared" ref="C503:L503" si="45">C495</f>
        <v>2011</v>
      </c>
      <c r="D503" s="108">
        <f t="shared" si="45"/>
        <v>2012</v>
      </c>
      <c r="E503" s="108">
        <f t="shared" si="45"/>
        <v>2013</v>
      </c>
      <c r="F503" s="108">
        <f t="shared" si="45"/>
        <v>2014</v>
      </c>
      <c r="G503" s="108">
        <f t="shared" si="45"/>
        <v>2015</v>
      </c>
      <c r="H503" s="108">
        <f t="shared" si="45"/>
        <v>2016</v>
      </c>
      <c r="I503" s="108">
        <f t="shared" si="45"/>
        <v>2017</v>
      </c>
      <c r="J503" s="108">
        <f t="shared" si="45"/>
        <v>2018</v>
      </c>
      <c r="K503" s="108">
        <f t="shared" si="45"/>
        <v>2019</v>
      </c>
      <c r="L503" s="108">
        <f t="shared" si="45"/>
        <v>2020</v>
      </c>
    </row>
    <row r="504" spans="2:13">
      <c r="B504" t="str">
        <f>B496</f>
        <v>Entel</v>
      </c>
      <c r="C504" s="162">
        <f t="shared" ref="C504:L504" si="46">C496/C$500</f>
        <v>0.12173018314107538</v>
      </c>
      <c r="D504" s="162">
        <f t="shared" si="46"/>
        <v>0.10316901984278673</v>
      </c>
      <c r="E504" s="162">
        <f t="shared" si="46"/>
        <v>8.3970119635813759E-2</v>
      </c>
      <c r="F504" s="162">
        <f t="shared" si="46"/>
        <v>7.6912378617861821E-2</v>
      </c>
      <c r="G504" s="162">
        <f t="shared" ca="1" si="46"/>
        <v>9.5942114142532911E-2</v>
      </c>
      <c r="H504" s="162">
        <f t="shared" ca="1" si="46"/>
        <v>0.13473621431067465</v>
      </c>
      <c r="I504" s="162">
        <f t="shared" ca="1" si="46"/>
        <v>0.16111850642872436</v>
      </c>
      <c r="J504" s="162">
        <f t="shared" ca="1" si="46"/>
        <v>0.14071085008650003</v>
      </c>
      <c r="K504" s="162">
        <f t="shared" ca="1" si="46"/>
        <v>0.14738562203681235</v>
      </c>
      <c r="L504" s="162">
        <f t="shared" ca="1" si="46"/>
        <v>0.15828523518080054</v>
      </c>
    </row>
    <row r="505" spans="2:13">
      <c r="B505" t="str">
        <f>B497</f>
        <v>AMX</v>
      </c>
      <c r="C505" s="162">
        <f t="shared" ref="C505:L505" si="47">C497/C$500</f>
        <v>0.39234606649258119</v>
      </c>
      <c r="D505" s="162">
        <f t="shared" si="47"/>
        <v>0.41451678314874141</v>
      </c>
      <c r="E505" s="162">
        <f t="shared" si="47"/>
        <v>0.43393820423614082</v>
      </c>
      <c r="F505" s="162">
        <f t="shared" si="47"/>
        <v>0.4072964111549221</v>
      </c>
      <c r="G505" s="162">
        <f t="shared" ca="1" si="47"/>
        <v>0.36625675625811382</v>
      </c>
      <c r="H505" s="162">
        <f t="shared" ca="1" si="47"/>
        <v>0.33804069910738882</v>
      </c>
      <c r="I505" s="162">
        <f t="shared" ca="1" si="47"/>
        <v>0.32989508556919339</v>
      </c>
      <c r="J505" s="162">
        <f t="shared" ca="1" si="47"/>
        <v>0.34147435359744882</v>
      </c>
      <c r="K505" s="162">
        <f t="shared" ca="1" si="47"/>
        <v>0.34164859338035775</v>
      </c>
      <c r="L505" s="162">
        <f t="shared" ca="1" si="47"/>
        <v>0.33954172724547282</v>
      </c>
    </row>
    <row r="506" spans="2:13">
      <c r="B506" t="str">
        <f>B498</f>
        <v>TEF</v>
      </c>
      <c r="C506" s="162">
        <f t="shared" ref="C506:L506" si="48">C498/C$500</f>
        <v>0.48592375036634339</v>
      </c>
      <c r="D506" s="162">
        <f t="shared" si="48"/>
        <v>0.48231419700847183</v>
      </c>
      <c r="E506" s="162">
        <f t="shared" si="48"/>
        <v>0.48209167612804538</v>
      </c>
      <c r="F506" s="162">
        <f t="shared" si="48"/>
        <v>0.49986293264510834</v>
      </c>
      <c r="G506" s="162">
        <f t="shared" ca="1" si="48"/>
        <v>0.51334737026142108</v>
      </c>
      <c r="H506" s="162">
        <f t="shared" ca="1" si="48"/>
        <v>0.4983191541830338</v>
      </c>
      <c r="I506" s="162">
        <f t="shared" ca="1" si="48"/>
        <v>0.47778960501529305</v>
      </c>
      <c r="J506" s="162">
        <f t="shared" ca="1" si="48"/>
        <v>0.48294833563269779</v>
      </c>
      <c r="K506" s="162">
        <f t="shared" ca="1" si="48"/>
        <v>0.47367763084757769</v>
      </c>
      <c r="L506" s="162">
        <f t="shared" ca="1" si="48"/>
        <v>0.46288144725503466</v>
      </c>
    </row>
    <row r="507" spans="2:13">
      <c r="B507" s="108" t="str">
        <f>B499</f>
        <v>Vittel</v>
      </c>
      <c r="C507" s="309">
        <f t="shared" ref="C507:L507" si="49">C499/C$500</f>
        <v>0</v>
      </c>
      <c r="D507" s="309">
        <f t="shared" si="49"/>
        <v>0</v>
      </c>
      <c r="E507" s="309">
        <f t="shared" si="49"/>
        <v>0</v>
      </c>
      <c r="F507" s="309">
        <f t="shared" si="49"/>
        <v>1.5928277582107693E-2</v>
      </c>
      <c r="G507" s="309">
        <f t="shared" ca="1" si="49"/>
        <v>2.4453759337932219E-2</v>
      </c>
      <c r="H507" s="309">
        <f t="shared" ca="1" si="49"/>
        <v>2.8903932398902779E-2</v>
      </c>
      <c r="I507" s="309">
        <f t="shared" ca="1" si="49"/>
        <v>3.1196802986789219E-2</v>
      </c>
      <c r="J507" s="309">
        <f t="shared" ca="1" si="49"/>
        <v>3.4866460683353376E-2</v>
      </c>
      <c r="K507" s="309">
        <f t="shared" ca="1" si="49"/>
        <v>3.7288153735252232E-2</v>
      </c>
      <c r="L507" s="309">
        <f t="shared" ca="1" si="49"/>
        <v>3.9291590318692012E-2</v>
      </c>
    </row>
    <row r="508" spans="2:13">
      <c r="B508" t="s">
        <v>68</v>
      </c>
      <c r="C508" s="57">
        <f t="shared" ref="C508:L508" si="50">C500/C$500</f>
        <v>1</v>
      </c>
      <c r="D508" s="57">
        <f t="shared" si="50"/>
        <v>1</v>
      </c>
      <c r="E508" s="57">
        <f t="shared" si="50"/>
        <v>1</v>
      </c>
      <c r="F508" s="57">
        <f t="shared" si="50"/>
        <v>1</v>
      </c>
      <c r="G508" s="57">
        <f t="shared" ca="1" si="50"/>
        <v>1</v>
      </c>
      <c r="H508" s="57">
        <f t="shared" ca="1" si="50"/>
        <v>1</v>
      </c>
      <c r="I508" s="57">
        <f t="shared" ca="1" si="50"/>
        <v>1</v>
      </c>
      <c r="J508" s="57">
        <f t="shared" ca="1" si="50"/>
        <v>1</v>
      </c>
      <c r="K508" s="57">
        <f t="shared" ca="1" si="50"/>
        <v>1</v>
      </c>
      <c r="L508" s="57">
        <f t="shared" ca="1" si="50"/>
        <v>1</v>
      </c>
    </row>
    <row r="511" spans="2:13">
      <c r="B511" s="108" t="s">
        <v>374</v>
      </c>
      <c r="C511" s="141" t="str">
        <f>Interims!AA122</f>
        <v>Q1 13</v>
      </c>
      <c r="D511" s="141" t="str">
        <f>Interims!AB122</f>
        <v>Q2 13</v>
      </c>
      <c r="E511" s="141" t="str">
        <f>Interims!AC122</f>
        <v>Q3 13</v>
      </c>
      <c r="F511" s="141" t="str">
        <f>Interims!AD122</f>
        <v>Q4 13</v>
      </c>
      <c r="G511" s="141" t="str">
        <f>Interims!AE122</f>
        <v>Q1 14</v>
      </c>
      <c r="H511" s="141" t="str">
        <f>Interims!AF122</f>
        <v>Q2 14</v>
      </c>
      <c r="I511" s="141" t="str">
        <f>Interims!AG122</f>
        <v>Q3 14</v>
      </c>
    </row>
    <row r="512" spans="2:13">
      <c r="B512" t="s">
        <v>267</v>
      </c>
      <c r="C512" s="162">
        <f>Interims!AA157</f>
        <v>0.30777555667346235</v>
      </c>
      <c r="D512" s="162">
        <f>Interims!AB157</f>
        <v>0.25882647340179538</v>
      </c>
      <c r="E512" s="162">
        <f>Interims!AC157</f>
        <v>0.28830475564016772</v>
      </c>
      <c r="F512" s="162">
        <f>Interims!AD157</f>
        <v>0.24387109002493618</v>
      </c>
      <c r="G512" s="162">
        <f>Interims!AE157</f>
        <v>0.36484716008987789</v>
      </c>
      <c r="H512" s="162">
        <f>Interims!AF157</f>
        <v>0.36782557370520758</v>
      </c>
      <c r="I512" s="162">
        <f>Interims!AG157</f>
        <v>0.35018582826311562</v>
      </c>
    </row>
    <row r="513" spans="2:9">
      <c r="B513" s="108" t="s">
        <v>794</v>
      </c>
      <c r="C513" s="309">
        <f>Interims!AA155</f>
        <v>0.44743012278645028</v>
      </c>
      <c r="D513" s="309">
        <f>Interims!AB155</f>
        <v>0.5584195763613502</v>
      </c>
      <c r="E513" s="309">
        <f>Interims!AC155</f>
        <v>0.40519185695122129</v>
      </c>
      <c r="F513" s="309">
        <f>Interims!AD155</f>
        <v>0.43288012748020971</v>
      </c>
      <c r="G513" s="309">
        <f>Interims!AE155</f>
        <v>0.12362436291535257</v>
      </c>
      <c r="H513" s="309">
        <f>Interims!AF155</f>
        <v>0.16940461005243967</v>
      </c>
      <c r="I513" s="309">
        <f>Interims!AG155</f>
        <v>0.17306373324891844</v>
      </c>
    </row>
    <row r="514" spans="2:9">
      <c r="B514" t="s">
        <v>132</v>
      </c>
      <c r="C514" s="162">
        <f>Interims!AA160</f>
        <v>0.31526784324878326</v>
      </c>
      <c r="D514" s="162">
        <f>Interims!AB160</f>
        <v>0.30083038471764872</v>
      </c>
      <c r="E514" s="162">
        <f>Interims!AC160</f>
        <v>0.3008562814894124</v>
      </c>
      <c r="F514" s="162">
        <f>Interims!AD160</f>
        <v>0.27546006747024487</v>
      </c>
      <c r="G514" s="162">
        <f>Interims!AE160</f>
        <v>0.31839948457241551</v>
      </c>
      <c r="H514" s="162">
        <f>Interims!AF160</f>
        <v>0.33366088557157142</v>
      </c>
      <c r="I514" s="162">
        <f>Interims!AG160</f>
        <v>0.31739057219990902</v>
      </c>
    </row>
    <row r="515" spans="2:9">
      <c r="C515" s="162"/>
      <c r="D515" s="162"/>
      <c r="E515" s="162"/>
      <c r="F515" s="162"/>
      <c r="G515" s="162"/>
      <c r="H515" s="162"/>
      <c r="I515" s="162"/>
    </row>
    <row r="516" spans="2:9">
      <c r="B516" t="s">
        <v>869</v>
      </c>
      <c r="C516" s="162"/>
      <c r="D516" s="162"/>
      <c r="E516" s="162">
        <f>Interims!AC143/Interims!AC126</f>
        <v>-0.11441026484619181</v>
      </c>
      <c r="F516" s="162">
        <f>Interims!AD143/Interims!AD126</f>
        <v>-0.28364267435361945</v>
      </c>
      <c r="G516" s="162">
        <f>Interims!AE143/Interims!AE126</f>
        <v>-0.26996559344317322</v>
      </c>
      <c r="H516" s="162">
        <f>Interims!AF143/Interims!AF126</f>
        <v>-0.59694596269792077</v>
      </c>
      <c r="I516" s="162">
        <f>Interims!AG143/Interims!AG126</f>
        <v>-0.64457733958299657</v>
      </c>
    </row>
    <row r="517" spans="2:9">
      <c r="B517" s="108" t="s">
        <v>782</v>
      </c>
      <c r="C517" s="309">
        <f>Interims!AA97</f>
        <v>0.23965097402597402</v>
      </c>
      <c r="D517" s="309">
        <f>Interims!AB97</f>
        <v>0.19756607720098879</v>
      </c>
      <c r="E517" s="309">
        <f>Interims!AC97</f>
        <v>0.18699039681101648</v>
      </c>
      <c r="F517" s="309">
        <f>Interims!AD97</f>
        <v>0.13775596547639193</v>
      </c>
      <c r="G517" s="309">
        <f>Interims!AE97</f>
        <v>0.20160481444332998</v>
      </c>
      <c r="H517" s="309">
        <f>Interims!AF97</f>
        <v>0.27579081227149899</v>
      </c>
      <c r="I517" s="309">
        <f>Interims!AG97</f>
        <v>0.24017208129357662</v>
      </c>
    </row>
    <row r="518" spans="2:9">
      <c r="B518" t="s">
        <v>426</v>
      </c>
      <c r="C518" s="162">
        <f>Interims!AA158</f>
        <v>0.3142810992304963</v>
      </c>
      <c r="D518" s="162">
        <f>Interims!AB158</f>
        <v>0.29946039762564863</v>
      </c>
      <c r="E518" s="162">
        <f>Interims!AC158</f>
        <v>0.28694441857843689</v>
      </c>
      <c r="F518" s="162">
        <f>Interims!AD158</f>
        <v>0.2326703407356078</v>
      </c>
      <c r="G518" s="162">
        <f>Interims!AE158</f>
        <v>0.26668334047925302</v>
      </c>
      <c r="H518" s="162">
        <f>Interims!AF158</f>
        <v>0.2517061450702357</v>
      </c>
      <c r="I518" s="162">
        <f>Interims!AG158</f>
        <v>0.22826394928562804</v>
      </c>
    </row>
    <row r="519" spans="2:9">
      <c r="B519" t="s">
        <v>947</v>
      </c>
      <c r="C519" s="162">
        <f>Interims!AA151/Interims!AA134</f>
        <v>0.3142810992304963</v>
      </c>
      <c r="D519" s="162">
        <f>Interims!AB151/Interims!AB134</f>
        <v>0.29946039762564863</v>
      </c>
      <c r="E519" s="162">
        <f>Interims!AC151/Interims!AC134</f>
        <v>0.29926905902083206</v>
      </c>
      <c r="F519" s="162">
        <f>Interims!AD151/Interims!AD134</f>
        <v>0.27370160683313155</v>
      </c>
      <c r="G519" s="162">
        <f>Interims!AE151/Interims!AE134</f>
        <v>0.31663416399571953</v>
      </c>
      <c r="H519" s="162">
        <f>Interims!AF151/Interims!AF134</f>
        <v>0.33277443455232475</v>
      </c>
      <c r="I519" s="162">
        <f>Interims!AG151/Interims!AG134</f>
        <v>0.31613058935510724</v>
      </c>
    </row>
    <row r="521" spans="2:9">
      <c r="B521" s="108" t="s">
        <v>949</v>
      </c>
      <c r="C521" s="141" t="str">
        <f>C511</f>
        <v>Q1 13</v>
      </c>
      <c r="D521" s="141" t="str">
        <f>D511</f>
        <v>Q2 13</v>
      </c>
      <c r="E521" s="141" t="str">
        <f>E511</f>
        <v>Q3 13</v>
      </c>
      <c r="F521" s="141" t="str">
        <f>F511</f>
        <v>Q4 13</v>
      </c>
      <c r="G521" s="141" t="s">
        <v>799</v>
      </c>
    </row>
    <row r="522" spans="2:9">
      <c r="B522" t="s">
        <v>948</v>
      </c>
      <c r="C522" s="166">
        <f>Interims!Z166</f>
        <v>89553</v>
      </c>
      <c r="D522" s="166">
        <f>Interims!AA166</f>
        <v>47628</v>
      </c>
      <c r="E522" s="166">
        <f>Interims!AB166</f>
        <v>100864</v>
      </c>
      <c r="F522" s="166">
        <f>Interims!AC166</f>
        <v>96262.9840909091</v>
      </c>
      <c r="G522" s="166">
        <f>Interims!AD166</f>
        <v>121370.53636363638</v>
      </c>
      <c r="H522" s="166" t="e">
        <f>Interims!#REF!</f>
        <v>#REF!</v>
      </c>
    </row>
    <row r="523" spans="2:9">
      <c r="B523" s="108" t="s">
        <v>951</v>
      </c>
      <c r="C523" s="268"/>
      <c r="D523" s="268"/>
      <c r="E523" s="268"/>
      <c r="F523" s="268">
        <f>105*Interims!AC63</f>
        <v>53221.0159090909</v>
      </c>
      <c r="G523" s="268"/>
      <c r="H523" s="268"/>
    </row>
    <row r="524" spans="2:9">
      <c r="B524" t="s">
        <v>68</v>
      </c>
      <c r="C524" s="166">
        <f t="shared" ref="C524:H524" si="51">C522+C523</f>
        <v>89553</v>
      </c>
      <c r="D524" s="166">
        <f t="shared" si="51"/>
        <v>47628</v>
      </c>
      <c r="E524" s="166">
        <f t="shared" si="51"/>
        <v>100864</v>
      </c>
      <c r="F524" s="166">
        <f t="shared" si="51"/>
        <v>149484</v>
      </c>
      <c r="G524" s="166">
        <f t="shared" si="51"/>
        <v>121370.53636363638</v>
      </c>
      <c r="H524" s="166" t="e">
        <f t="shared" si="51"/>
        <v>#REF!</v>
      </c>
    </row>
    <row r="525" spans="2:9">
      <c r="B525" t="s">
        <v>950</v>
      </c>
      <c r="C525" s="162">
        <f>Interims!AA167</f>
        <v>0.12611811061152509</v>
      </c>
      <c r="D525" s="162">
        <f>Interims!AB167</f>
        <v>0.25444812476192158</v>
      </c>
      <c r="E525" s="162">
        <f>Interims!AC167</f>
        <v>0.23588896480376464</v>
      </c>
      <c r="F525" s="162">
        <f>Interims!AD167</f>
        <v>0.26282340944279686</v>
      </c>
      <c r="G525" s="162" t="e">
        <f>Interims!#REF!</f>
        <v>#REF!</v>
      </c>
      <c r="H525" s="57"/>
    </row>
    <row r="528" spans="2:9">
      <c r="B528" s="249" t="s">
        <v>802</v>
      </c>
    </row>
    <row r="529" spans="2:16">
      <c r="B529" s="108" t="s">
        <v>675</v>
      </c>
      <c r="C529" s="141" t="str">
        <f>Interims!V122</f>
        <v>Q4 11</v>
      </c>
      <c r="D529" s="141" t="str">
        <f>Interims!W122</f>
        <v>Q1 12</v>
      </c>
      <c r="E529" s="141" t="str">
        <f>Interims!X122</f>
        <v>Q2 12</v>
      </c>
      <c r="F529" s="141" t="str">
        <f>Interims!Y122</f>
        <v>Q3 12</v>
      </c>
      <c r="G529" s="141" t="str">
        <f>Interims!Z122</f>
        <v>Q4 12</v>
      </c>
      <c r="H529" s="141" t="str">
        <f>Interims!AA122</f>
        <v>Q1 13</v>
      </c>
      <c r="I529" s="141" t="str">
        <f>Interims!AB122</f>
        <v>Q2 13</v>
      </c>
      <c r="J529" s="141" t="str">
        <f>Interims!AC122</f>
        <v>Q3 13</v>
      </c>
      <c r="K529" s="141"/>
      <c r="L529" s="141" t="str">
        <f>G529</f>
        <v>Q4 12</v>
      </c>
      <c r="M529" s="141" t="str">
        <f>H529</f>
        <v>Q1 13</v>
      </c>
      <c r="N529" s="141" t="str">
        <f>I529</f>
        <v>Q2 13</v>
      </c>
      <c r="O529" s="141" t="str">
        <f>J529</f>
        <v>Q3 13</v>
      </c>
    </row>
    <row r="530" spans="2:16">
      <c r="B530" t="s">
        <v>803</v>
      </c>
      <c r="C530" s="15">
        <f>Interims!V128</f>
        <v>338009</v>
      </c>
      <c r="D530" s="15">
        <f>Interims!W128</f>
        <v>340231</v>
      </c>
      <c r="E530" s="15">
        <f>Interims!X128</f>
        <v>351650</v>
      </c>
      <c r="F530" s="15">
        <f>Interims!Y128</f>
        <v>353290</v>
      </c>
      <c r="G530" s="15">
        <f>Interims!Z128</f>
        <v>378202</v>
      </c>
      <c r="H530" s="15"/>
      <c r="I530" s="15"/>
      <c r="J530" s="15"/>
      <c r="K530" s="15"/>
      <c r="L530" s="57">
        <f>G530/C530-1</f>
        <v>0.1189110349132716</v>
      </c>
      <c r="M530" s="57">
        <f>H530/D530-1</f>
        <v>-1</v>
      </c>
      <c r="N530" s="57">
        <f>I530/E530-1</f>
        <v>-1</v>
      </c>
      <c r="O530" s="57">
        <f>J530/F530-1</f>
        <v>-1</v>
      </c>
      <c r="P530" t="s">
        <v>809</v>
      </c>
    </row>
    <row r="531" spans="2:16">
      <c r="B531" t="s">
        <v>811</v>
      </c>
      <c r="G531" s="15">
        <f>G532-G530</f>
        <v>17515</v>
      </c>
      <c r="H531" s="15"/>
      <c r="I531" s="15"/>
      <c r="J531" s="15"/>
      <c r="K531" s="15"/>
      <c r="P531" t="s">
        <v>812</v>
      </c>
    </row>
    <row r="532" spans="2:16">
      <c r="B532" t="s">
        <v>804</v>
      </c>
      <c r="G532" s="15">
        <f>Interims!Z133</f>
        <v>395717</v>
      </c>
      <c r="H532" s="15">
        <f>Interims!AA133</f>
        <v>377646</v>
      </c>
      <c r="I532" s="15">
        <f>Interims!AB133</f>
        <v>396403</v>
      </c>
      <c r="J532" s="15">
        <f>Interims!AC133</f>
        <v>408086</v>
      </c>
      <c r="K532" s="15"/>
      <c r="P532" t="s">
        <v>810</v>
      </c>
    </row>
    <row r="534" spans="2:16">
      <c r="B534" t="s">
        <v>805</v>
      </c>
      <c r="C534" s="15">
        <f>C530</f>
        <v>338009</v>
      </c>
      <c r="D534">
        <v>342068</v>
      </c>
      <c r="E534">
        <v>352921</v>
      </c>
      <c r="F534">
        <v>353924</v>
      </c>
      <c r="G534" s="15"/>
      <c r="H534" s="15">
        <v>370915</v>
      </c>
      <c r="I534" s="15">
        <v>392906</v>
      </c>
      <c r="J534" s="15"/>
      <c r="K534" s="15"/>
      <c r="L534" s="57">
        <f>G534/C534-1</f>
        <v>-1</v>
      </c>
      <c r="M534" s="57">
        <f>H534/D534-1</f>
        <v>8.433118561221753E-2</v>
      </c>
      <c r="N534" s="57">
        <f>I534/E534-1</f>
        <v>0.11329731016289757</v>
      </c>
      <c r="O534" s="57">
        <f>J534/F534-1</f>
        <v>-1</v>
      </c>
      <c r="P534" t="s">
        <v>814</v>
      </c>
    </row>
    <row r="536" spans="2:16">
      <c r="B536" t="s">
        <v>807</v>
      </c>
      <c r="C536" s="15">
        <f>Interims!V145</f>
        <v>116463</v>
      </c>
      <c r="D536" s="15">
        <f>Interims!W145</f>
        <v>140559</v>
      </c>
      <c r="E536" s="15">
        <f>Interims!X145-2900</f>
        <v>138447</v>
      </c>
      <c r="F536" s="15">
        <f>Interims!Y145</f>
        <v>143959</v>
      </c>
      <c r="G536" s="15">
        <f>Interims!Z145</f>
        <v>137669</v>
      </c>
      <c r="H536" s="15">
        <f>Interims!AA145</f>
        <v>118687</v>
      </c>
      <c r="I536" s="15">
        <f>Interims!AB145</f>
        <v>115756</v>
      </c>
      <c r="J536" s="15">
        <f>Interims!AC145</f>
        <v>116408</v>
      </c>
      <c r="K536" s="15"/>
      <c r="L536" s="57">
        <f>G536/C536-1</f>
        <v>0.18208358019285087</v>
      </c>
      <c r="M536" s="57">
        <f>H536/D536-1</f>
        <v>-0.15560725389338281</v>
      </c>
      <c r="N536" s="57">
        <f>I536/E536-1</f>
        <v>-0.16389665359307171</v>
      </c>
      <c r="O536" s="57">
        <f>J536/F536-1</f>
        <v>-0.19138087927812775</v>
      </c>
    </row>
    <row r="537" spans="2:16">
      <c r="B537" t="s">
        <v>806</v>
      </c>
      <c r="G537">
        <f>Interims!Z184</f>
        <v>38400</v>
      </c>
      <c r="H537">
        <f>Interims!AA184</f>
        <v>37200</v>
      </c>
      <c r="I537">
        <f>Interims!AB184</f>
        <v>46300</v>
      </c>
      <c r="J537">
        <f>Interims!AC184</f>
        <v>0</v>
      </c>
    </row>
    <row r="539" spans="2:16">
      <c r="B539" t="s">
        <v>813</v>
      </c>
      <c r="G539" s="15">
        <f>G531-G537</f>
        <v>-20885</v>
      </c>
      <c r="H539" s="15">
        <f>H531-H537</f>
        <v>-37200</v>
      </c>
      <c r="I539" s="15">
        <f>I531-I537</f>
        <v>-46300</v>
      </c>
      <c r="J539" s="15">
        <f>J531-J537</f>
        <v>0</v>
      </c>
      <c r="K539" s="15"/>
    </row>
    <row r="540" spans="2:16">
      <c r="B540" t="s">
        <v>808</v>
      </c>
      <c r="G540" s="15">
        <f>Interims!Z150</f>
        <v>116760</v>
      </c>
      <c r="H540" s="15">
        <f>Interims!AA150</f>
        <v>118687</v>
      </c>
      <c r="I540" s="15">
        <f>Interims!AB150</f>
        <v>118707</v>
      </c>
      <c r="J540" s="15">
        <f>Interims!AC150</f>
        <v>117098</v>
      </c>
      <c r="K540" s="15"/>
      <c r="L540" s="57"/>
      <c r="M540" s="57"/>
      <c r="N540" s="57"/>
      <c r="O540" s="57"/>
    </row>
    <row r="541" spans="2:16">
      <c r="D541" s="15"/>
      <c r="E541" s="15"/>
      <c r="G541" s="15"/>
      <c r="H541" s="15"/>
      <c r="I541" s="15"/>
      <c r="J541" s="15"/>
      <c r="K541" s="15"/>
    </row>
    <row r="542" spans="2:16">
      <c r="B542" t="s">
        <v>805</v>
      </c>
      <c r="D542">
        <v>105025</v>
      </c>
      <c r="E542">
        <v>98427</v>
      </c>
      <c r="F542">
        <v>106614</v>
      </c>
      <c r="G542" s="15"/>
      <c r="H542" s="15">
        <f>H536</f>
        <v>118687</v>
      </c>
      <c r="I542" s="15">
        <f>I536</f>
        <v>115756</v>
      </c>
      <c r="J542" s="15">
        <f>J536</f>
        <v>116408</v>
      </c>
      <c r="K542" s="15"/>
      <c r="L542" s="57" t="e">
        <f>G542/C542-1</f>
        <v>#DIV/0!</v>
      </c>
      <c r="M542" s="57">
        <f>H542/D542-1</f>
        <v>0.13008331349678648</v>
      </c>
      <c r="N542" s="57">
        <f>I542/E542-1</f>
        <v>0.17605941459152463</v>
      </c>
      <c r="O542" s="57">
        <f>J542/F542-1</f>
        <v>9.1864107903277148E-2</v>
      </c>
    </row>
    <row r="545" spans="2:15">
      <c r="B545" s="249" t="s">
        <v>805</v>
      </c>
    </row>
    <row r="546" spans="2:15">
      <c r="F546" s="166"/>
    </row>
    <row r="547" spans="2:15">
      <c r="B547" s="311" t="s">
        <v>588</v>
      </c>
      <c r="C547" s="312" t="str">
        <f t="shared" ref="C547:J547" si="52">C553</f>
        <v>Q4 11</v>
      </c>
      <c r="D547" s="312" t="str">
        <f t="shared" si="52"/>
        <v>Q1 12</v>
      </c>
      <c r="E547" s="312" t="str">
        <f t="shared" si="52"/>
        <v>Q2 12</v>
      </c>
      <c r="F547" s="312" t="str">
        <f t="shared" si="52"/>
        <v>Q3 12</v>
      </c>
      <c r="G547" s="312" t="str">
        <f t="shared" si="52"/>
        <v>Q4 12</v>
      </c>
      <c r="H547" s="312" t="str">
        <f t="shared" si="52"/>
        <v>Q1 13</v>
      </c>
      <c r="I547" s="312" t="str">
        <f t="shared" si="52"/>
        <v>Q2 13</v>
      </c>
      <c r="J547" s="312" t="str">
        <f t="shared" si="52"/>
        <v>Q3 13</v>
      </c>
      <c r="K547" s="378"/>
    </row>
    <row r="548" spans="2:15">
      <c r="B548" s="313" t="s">
        <v>819</v>
      </c>
      <c r="C548" s="314">
        <f>C530</f>
        <v>338009</v>
      </c>
      <c r="D548" s="314">
        <f>D530</f>
        <v>340231</v>
      </c>
      <c r="E548" s="314">
        <f>E530</f>
        <v>351650</v>
      </c>
      <c r="F548" s="314">
        <f>F530</f>
        <v>353290</v>
      </c>
      <c r="G548" s="314">
        <f>G530</f>
        <v>378202</v>
      </c>
      <c r="H548" s="314"/>
      <c r="I548" s="314"/>
      <c r="J548" s="314"/>
      <c r="K548" s="314"/>
    </row>
    <row r="549" spans="2:15">
      <c r="B549" s="313" t="s">
        <v>820</v>
      </c>
      <c r="C549" s="314"/>
      <c r="D549" s="314"/>
      <c r="E549" s="314"/>
      <c r="F549" s="314"/>
      <c r="G549" s="314">
        <f>G532</f>
        <v>395717</v>
      </c>
      <c r="H549" s="314">
        <f>H532</f>
        <v>377646</v>
      </c>
      <c r="I549" s="314">
        <f>I532</f>
        <v>396403</v>
      </c>
      <c r="J549" s="314">
        <f>J532</f>
        <v>408086</v>
      </c>
      <c r="K549" s="314"/>
    </row>
    <row r="550" spans="2:15">
      <c r="B550" s="311" t="s">
        <v>821</v>
      </c>
      <c r="C550" s="315"/>
      <c r="D550" s="315">
        <f>D534</f>
        <v>342068</v>
      </c>
      <c r="E550" s="315">
        <f>E534</f>
        <v>352921</v>
      </c>
      <c r="F550" s="315">
        <f>F534</f>
        <v>353924</v>
      </c>
      <c r="G550" s="315"/>
      <c r="H550" s="315">
        <f>H534</f>
        <v>370915</v>
      </c>
      <c r="I550" s="315">
        <f>I534</f>
        <v>392906</v>
      </c>
      <c r="J550" s="315">
        <f>J534</f>
        <v>0</v>
      </c>
      <c r="K550" s="314"/>
      <c r="M550" s="317">
        <f>H550/D550-1</f>
        <v>8.433118561221753E-2</v>
      </c>
      <c r="N550" s="317">
        <f>I550/E550-1</f>
        <v>0.11329731016289757</v>
      </c>
      <c r="O550" s="317">
        <f>J550/F550-1</f>
        <v>-1</v>
      </c>
    </row>
    <row r="551" spans="2:15">
      <c r="B551" s="313" t="s">
        <v>854</v>
      </c>
      <c r="C551" s="314"/>
      <c r="D551" s="314">
        <f>D548-D550</f>
        <v>-1837</v>
      </c>
      <c r="E551" s="314">
        <f>E548-E550</f>
        <v>-1271</v>
      </c>
      <c r="F551" s="314">
        <f>F548-F550</f>
        <v>-634</v>
      </c>
      <c r="G551" s="314"/>
      <c r="H551" s="314">
        <f>H549-H550</f>
        <v>6731</v>
      </c>
      <c r="I551" s="314">
        <f>I549-I550</f>
        <v>3497</v>
      </c>
      <c r="J551" s="314">
        <f>J549-J550</f>
        <v>408086</v>
      </c>
      <c r="K551" s="314"/>
      <c r="M551" s="317"/>
      <c r="N551" s="317"/>
      <c r="O551" s="317"/>
    </row>
    <row r="553" spans="2:15">
      <c r="B553" s="311" t="s">
        <v>588</v>
      </c>
      <c r="C553" s="312" t="str">
        <f t="shared" ref="C553:J553" si="53">C529</f>
        <v>Q4 11</v>
      </c>
      <c r="D553" s="312" t="str">
        <f t="shared" si="53"/>
        <v>Q1 12</v>
      </c>
      <c r="E553" s="312" t="str">
        <f t="shared" si="53"/>
        <v>Q2 12</v>
      </c>
      <c r="F553" s="312" t="str">
        <f t="shared" si="53"/>
        <v>Q3 12</v>
      </c>
      <c r="G553" s="312" t="str">
        <f t="shared" si="53"/>
        <v>Q4 12</v>
      </c>
      <c r="H553" s="312" t="str">
        <f t="shared" si="53"/>
        <v>Q1 13</v>
      </c>
      <c r="I553" s="312" t="str">
        <f t="shared" si="53"/>
        <v>Q2 13</v>
      </c>
      <c r="J553" s="312" t="str">
        <f t="shared" si="53"/>
        <v>Q3 13</v>
      </c>
      <c r="K553" s="378"/>
    </row>
    <row r="554" spans="2:15">
      <c r="B554" s="313" t="s">
        <v>818</v>
      </c>
      <c r="C554" s="314">
        <f>C536</f>
        <v>116463</v>
      </c>
      <c r="D554" s="314">
        <f>D536</f>
        <v>140559</v>
      </c>
      <c r="E554" s="314">
        <f>E536</f>
        <v>138447</v>
      </c>
      <c r="F554" s="314">
        <f>F536</f>
        <v>143959</v>
      </c>
      <c r="G554" s="314">
        <v>134469</v>
      </c>
      <c r="H554" s="314"/>
      <c r="I554" s="314"/>
      <c r="J554" s="314"/>
      <c r="K554" s="314"/>
    </row>
    <row r="555" spans="2:15">
      <c r="B555" s="313" t="s">
        <v>816</v>
      </c>
      <c r="C555" s="314"/>
      <c r="D555" s="314"/>
      <c r="E555" s="314"/>
      <c r="F555" s="314"/>
      <c r="G555" s="314">
        <f>G540-3200</f>
        <v>113560</v>
      </c>
      <c r="H555" s="314">
        <f>H540</f>
        <v>118687</v>
      </c>
      <c r="I555" s="314">
        <f>I540</f>
        <v>118707</v>
      </c>
      <c r="J555" s="314">
        <f>J540</f>
        <v>117098</v>
      </c>
      <c r="K555" s="314"/>
    </row>
    <row r="556" spans="2:15">
      <c r="B556" s="311" t="s">
        <v>817</v>
      </c>
      <c r="C556" s="315"/>
      <c r="D556" s="315">
        <f>D542</f>
        <v>105025</v>
      </c>
      <c r="E556" s="315">
        <f>E542</f>
        <v>98427</v>
      </c>
      <c r="F556" s="315">
        <f>F542</f>
        <v>106614</v>
      </c>
      <c r="G556" s="315"/>
      <c r="H556" s="315">
        <f>H542</f>
        <v>118687</v>
      </c>
      <c r="I556" s="315">
        <f>I542</f>
        <v>115756</v>
      </c>
      <c r="J556" s="315">
        <f>J542</f>
        <v>116408</v>
      </c>
      <c r="K556" s="314"/>
      <c r="M556" s="317">
        <f>H556/D556-1</f>
        <v>0.13008331349678648</v>
      </c>
      <c r="N556" s="317">
        <f>I556/E556-1</f>
        <v>0.17605941459152463</v>
      </c>
      <c r="O556" s="317">
        <f>J556/F556-1</f>
        <v>9.1864107903277148E-2</v>
      </c>
    </row>
    <row r="557" spans="2:15">
      <c r="B557" s="313" t="s">
        <v>829</v>
      </c>
      <c r="D557" s="317">
        <f>D556/D550</f>
        <v>0.30702959645450612</v>
      </c>
      <c r="E557" s="317">
        <f>E556/E550</f>
        <v>0.27889244335134494</v>
      </c>
      <c r="F557" s="317">
        <f>F556/F550</f>
        <v>0.30123416326669</v>
      </c>
      <c r="H557" s="317">
        <f>H556/H550</f>
        <v>0.31998436299421701</v>
      </c>
      <c r="I557" s="317">
        <f>I556/I550</f>
        <v>0.29461499697128574</v>
      </c>
      <c r="J557" s="317" t="e">
        <f>J556/J550</f>
        <v>#DIV/0!</v>
      </c>
      <c r="K557" s="317"/>
    </row>
    <row r="558" spans="2:15">
      <c r="D558" s="317"/>
      <c r="E558" s="317"/>
      <c r="H558" s="317"/>
      <c r="I558" s="317"/>
      <c r="J558" s="317"/>
      <c r="K558" s="317"/>
    </row>
    <row r="559" spans="2:15">
      <c r="B559" s="313" t="s">
        <v>830</v>
      </c>
      <c r="D559" s="314">
        <f>D550-D556</f>
        <v>237043</v>
      </c>
      <c r="E559" s="314">
        <f>E550-E556</f>
        <v>254494</v>
      </c>
      <c r="F559" s="314">
        <f>F550-F556</f>
        <v>247310</v>
      </c>
      <c r="H559" s="314">
        <f>H550-H556</f>
        <v>252228</v>
      </c>
      <c r="I559" s="314">
        <f>I550-I556</f>
        <v>277150</v>
      </c>
      <c r="J559" s="314">
        <f>J550-J556</f>
        <v>-116408</v>
      </c>
      <c r="K559" s="314"/>
    </row>
    <row r="560" spans="2:15">
      <c r="B560" s="316" t="s">
        <v>831</v>
      </c>
      <c r="D560" s="317"/>
      <c r="E560" s="317"/>
      <c r="G560" s="314">
        <f>Interims!Z184</f>
        <v>38400</v>
      </c>
      <c r="H560" s="314">
        <f>Interims!AA184</f>
        <v>37200</v>
      </c>
      <c r="I560" s="314">
        <f>Interims!AB184</f>
        <v>46300</v>
      </c>
      <c r="J560" s="314">
        <f>Interims!AC184</f>
        <v>0</v>
      </c>
      <c r="K560" s="314"/>
    </row>
    <row r="561" spans="2:9">
      <c r="D561" s="317"/>
      <c r="E561" s="317"/>
      <c r="H561" s="317"/>
      <c r="I561" s="317"/>
    </row>
    <row r="562" spans="2:9">
      <c r="B562" s="249" t="s">
        <v>822</v>
      </c>
    </row>
    <row r="563" spans="2:9">
      <c r="B563" s="249"/>
    </row>
    <row r="564" spans="2:9">
      <c r="B564" s="311" t="s">
        <v>959</v>
      </c>
      <c r="C564" s="312" t="s">
        <v>956</v>
      </c>
      <c r="D564" s="312" t="s">
        <v>957</v>
      </c>
      <c r="E564" s="312" t="s">
        <v>958</v>
      </c>
    </row>
    <row r="565" spans="2:9">
      <c r="B565" s="313" t="s">
        <v>823</v>
      </c>
      <c r="C565" s="314">
        <f>'Master old'!O116</f>
        <v>1271726</v>
      </c>
      <c r="D565" s="314">
        <f>'Master old'!P116</f>
        <v>1150533</v>
      </c>
      <c r="E565" s="317">
        <f>D565/C565-1</f>
        <v>-9.5298043760998818E-2</v>
      </c>
    </row>
    <row r="566" spans="2:9">
      <c r="B566" s="316" t="s">
        <v>824</v>
      </c>
      <c r="C566" s="314">
        <f>0.14*C565</f>
        <v>178041.64</v>
      </c>
      <c r="D566" s="314">
        <f>C566*(1+'Master old'!P89)</f>
        <v>58023.313958974366</v>
      </c>
      <c r="E566" s="317">
        <f>D566/C566-1</f>
        <v>-0.67410256410256408</v>
      </c>
      <c r="G566" s="314">
        <f>D566-C566</f>
        <v>-120018.32604102565</v>
      </c>
    </row>
    <row r="567" spans="2:9">
      <c r="B567" s="318" t="s">
        <v>825</v>
      </c>
      <c r="C567" s="315">
        <f>C565-C566-C569</f>
        <v>947968.46</v>
      </c>
      <c r="D567" s="315">
        <f>D565-D566-D569</f>
        <v>979660.41104102565</v>
      </c>
      <c r="E567" s="319">
        <f>D567/C567-1</f>
        <v>3.3431440367779341E-2</v>
      </c>
      <c r="G567">
        <f>18900*3/2</f>
        <v>28350</v>
      </c>
    </row>
    <row r="568" spans="2:9">
      <c r="B568" s="316" t="s">
        <v>82</v>
      </c>
      <c r="C568" s="314">
        <f>C566+C567</f>
        <v>1126010.1000000001</v>
      </c>
      <c r="D568" s="314">
        <f>D566+D567</f>
        <v>1037683.725</v>
      </c>
      <c r="E568" s="317">
        <f>D568/C568-1</f>
        <v>-7.8441902963392707E-2</v>
      </c>
    </row>
    <row r="569" spans="2:9">
      <c r="B569" s="316" t="s">
        <v>826</v>
      </c>
      <c r="C569" s="314">
        <f>'Master old'!O109</f>
        <v>145715.89999999991</v>
      </c>
      <c r="D569" s="314">
        <f>'Master old'!P109</f>
        <v>112849.27500000002</v>
      </c>
      <c r="E569" s="317">
        <f>D569/C569-1</f>
        <v>-0.22555277083694991</v>
      </c>
    </row>
    <row r="570" spans="2:9">
      <c r="B570" s="316"/>
      <c r="C570" s="314"/>
      <c r="D570" s="314"/>
      <c r="E570" s="317"/>
    </row>
    <row r="571" spans="2:9">
      <c r="B571" s="316" t="s">
        <v>1028</v>
      </c>
      <c r="C571" s="314"/>
      <c r="D571" s="314">
        <v>200</v>
      </c>
      <c r="E571" s="317"/>
    </row>
    <row r="572" spans="2:9">
      <c r="B572" s="316" t="s">
        <v>1029</v>
      </c>
      <c r="C572" s="314"/>
      <c r="D572" s="314">
        <f>D571*530</f>
        <v>106000</v>
      </c>
      <c r="E572" s="317"/>
    </row>
    <row r="573" spans="2:9">
      <c r="B573" s="316" t="s">
        <v>1030</v>
      </c>
      <c r="C573" s="314">
        <f>C568</f>
        <v>1126010.1000000001</v>
      </c>
      <c r="D573" s="314">
        <f>D568+D572</f>
        <v>1143683.7250000001</v>
      </c>
      <c r="E573" s="317">
        <f>D573/C573-1</f>
        <v>1.5695796156713016E-2</v>
      </c>
    </row>
    <row r="574" spans="2:9">
      <c r="B574" s="313"/>
      <c r="C574" s="314"/>
    </row>
    <row r="575" spans="2:9">
      <c r="B575" s="313" t="s">
        <v>417</v>
      </c>
    </row>
    <row r="576" spans="2:9">
      <c r="B576" s="316" t="s">
        <v>827</v>
      </c>
      <c r="C576" s="314">
        <f>35*480</f>
        <v>16800</v>
      </c>
      <c r="D576" s="314">
        <f>C576*0.5</f>
        <v>8400</v>
      </c>
      <c r="E576" s="317">
        <f>D576/C576-1</f>
        <v>-0.5</v>
      </c>
    </row>
    <row r="577" spans="2:15">
      <c r="B577" s="318" t="s">
        <v>828</v>
      </c>
      <c r="C577" s="315">
        <f>C578-C576</f>
        <v>331418</v>
      </c>
      <c r="D577" s="315">
        <f>D578-D576</f>
        <v>398447</v>
      </c>
      <c r="E577" s="319">
        <f>D577/C577-1</f>
        <v>0.20224912346342072</v>
      </c>
    </row>
    <row r="578" spans="2:15">
      <c r="B578" s="313" t="s">
        <v>68</v>
      </c>
      <c r="C578" s="314">
        <f>'Master old'!O228</f>
        <v>348218</v>
      </c>
      <c r="D578" s="314">
        <f>'Master old'!P228</f>
        <v>406847</v>
      </c>
      <c r="E578" s="317">
        <f>D578/C578-1</f>
        <v>0.16836866560602837</v>
      </c>
    </row>
    <row r="579" spans="2:15">
      <c r="B579" s="313"/>
      <c r="C579" s="314"/>
      <c r="D579" s="314"/>
    </row>
    <row r="581" spans="2:15">
      <c r="B581" s="306" t="s">
        <v>935</v>
      </c>
    </row>
    <row r="583" spans="2:15">
      <c r="B583" s="306" t="s">
        <v>132</v>
      </c>
    </row>
    <row r="584" spans="2:15">
      <c r="D584" s="173"/>
      <c r="E584" s="341" t="s">
        <v>939</v>
      </c>
      <c r="F584" s="341" t="s">
        <v>938</v>
      </c>
      <c r="G584" s="341" t="s">
        <v>940</v>
      </c>
      <c r="H584" s="341" t="s">
        <v>2728</v>
      </c>
      <c r="I584" s="341"/>
      <c r="M584" s="345"/>
      <c r="N584" s="485" t="s">
        <v>2900</v>
      </c>
      <c r="O584" s="491"/>
    </row>
    <row r="585" spans="2:15" ht="14.7" thickBot="1">
      <c r="B585" s="2"/>
      <c r="C585" s="342">
        <v>700</v>
      </c>
      <c r="D585" s="342" t="s">
        <v>941</v>
      </c>
      <c r="E585" s="343">
        <v>900</v>
      </c>
      <c r="F585" s="343" t="s">
        <v>943</v>
      </c>
      <c r="G585" s="343" t="s">
        <v>942</v>
      </c>
      <c r="H585" s="343" t="s">
        <v>942</v>
      </c>
      <c r="I585" s="343">
        <v>2.6</v>
      </c>
      <c r="J585" s="343" t="s">
        <v>2890</v>
      </c>
      <c r="K585" s="343" t="s">
        <v>2892</v>
      </c>
      <c r="L585" s="343" t="s">
        <v>2891</v>
      </c>
      <c r="M585" s="346" t="s">
        <v>68</v>
      </c>
      <c r="N585" s="488" t="s">
        <v>2899</v>
      </c>
      <c r="O585" s="495" t="s">
        <v>2889</v>
      </c>
    </row>
    <row r="586" spans="2:15" ht="14.7" thickBot="1">
      <c r="B586" s="344" t="s">
        <v>133</v>
      </c>
      <c r="C586" s="344">
        <v>30</v>
      </c>
      <c r="D586" s="344"/>
      <c r="E586" s="344">
        <v>20</v>
      </c>
      <c r="F586" s="344">
        <v>60</v>
      </c>
      <c r="G586" s="344"/>
      <c r="H586" s="344"/>
      <c r="I586" s="344">
        <v>40</v>
      </c>
      <c r="J586" s="492">
        <v>50</v>
      </c>
      <c r="K586" s="344">
        <f>20+80</f>
        <v>100</v>
      </c>
      <c r="L586" s="344"/>
      <c r="M586" s="347">
        <f>SUM(C586:L586)</f>
        <v>300</v>
      </c>
      <c r="N586" s="344">
        <f>M586-K586</f>
        <v>200</v>
      </c>
      <c r="O586" s="496">
        <v>400</v>
      </c>
    </row>
    <row r="587" spans="2:15" ht="14.7" thickBot="1">
      <c r="B587" s="3" t="s">
        <v>936</v>
      </c>
      <c r="C587" s="3">
        <v>20</v>
      </c>
      <c r="D587" s="3"/>
      <c r="E587" s="3">
        <v>25</v>
      </c>
      <c r="F587" s="3">
        <f>30+10</f>
        <v>40</v>
      </c>
      <c r="G587" s="3"/>
      <c r="H587" s="3"/>
      <c r="I587" s="3">
        <v>40</v>
      </c>
      <c r="J587" s="3"/>
      <c r="K587" s="3">
        <f>20+30</f>
        <v>50</v>
      </c>
      <c r="L587" s="3"/>
      <c r="M587" s="348">
        <f>SUM(C587:L587)</f>
        <v>175</v>
      </c>
      <c r="N587" s="3">
        <f>M587-K587</f>
        <v>125</v>
      </c>
      <c r="O587" s="492">
        <v>400</v>
      </c>
    </row>
    <row r="588" spans="2:15" ht="14.7" thickBot="1">
      <c r="B588" s="344" t="s">
        <v>937</v>
      </c>
      <c r="C588" s="344">
        <v>20</v>
      </c>
      <c r="D588" s="344"/>
      <c r="E588" s="344">
        <v>25</v>
      </c>
      <c r="F588" s="344">
        <f>30-10</f>
        <v>20</v>
      </c>
      <c r="G588" s="344"/>
      <c r="H588" s="344"/>
      <c r="I588" s="344">
        <v>40</v>
      </c>
      <c r="J588" s="492">
        <v>50</v>
      </c>
      <c r="K588" s="344">
        <f>50*0.02</f>
        <v>1</v>
      </c>
      <c r="L588" s="344"/>
      <c r="M588" s="347">
        <f>SUM(C588:L588)</f>
        <v>156</v>
      </c>
      <c r="N588" s="344">
        <f>M588-K588</f>
        <v>155</v>
      </c>
      <c r="O588" s="344"/>
    </row>
    <row r="589" spans="2:15" ht="14.7" thickBot="1">
      <c r="B589" s="3" t="s">
        <v>1636</v>
      </c>
      <c r="C589" s="492">
        <v>20</v>
      </c>
      <c r="D589" s="3">
        <v>15</v>
      </c>
      <c r="E589" s="3"/>
      <c r="F589" s="3"/>
      <c r="G589" s="3">
        <v>60</v>
      </c>
      <c r="H589" s="492">
        <v>30</v>
      </c>
      <c r="I589" s="3"/>
      <c r="J589" s="3"/>
      <c r="K589" s="3"/>
      <c r="L589" s="492">
        <v>50</v>
      </c>
      <c r="M589" s="348">
        <f>SUM(C589:I589)</f>
        <v>125</v>
      </c>
      <c r="N589" s="3">
        <f>M589-K589</f>
        <v>125</v>
      </c>
      <c r="O589" s="492">
        <v>400</v>
      </c>
    </row>
    <row r="590" spans="2:15">
      <c r="B590" s="344" t="s">
        <v>2893</v>
      </c>
      <c r="C590" s="344"/>
      <c r="D590" s="344"/>
      <c r="E590" s="344"/>
      <c r="F590" s="344"/>
      <c r="G590" s="344">
        <v>30</v>
      </c>
      <c r="H590" s="344"/>
      <c r="I590" s="344"/>
      <c r="J590" s="344"/>
      <c r="K590" s="344"/>
      <c r="L590" s="344"/>
      <c r="M590" s="347">
        <f>SUM(C590:L590)</f>
        <v>30</v>
      </c>
      <c r="N590" s="486">
        <f>M590-K590</f>
        <v>30</v>
      </c>
      <c r="O590" s="493"/>
    </row>
    <row r="591" spans="2:15">
      <c r="B591" s="304" t="s">
        <v>2888</v>
      </c>
      <c r="C591" s="304"/>
      <c r="D591" s="304"/>
      <c r="E591" s="304"/>
      <c r="F591" s="304"/>
      <c r="G591" s="304"/>
      <c r="H591" s="304"/>
      <c r="I591" s="304"/>
      <c r="J591" s="304"/>
      <c r="K591" s="304"/>
      <c r="L591" s="304"/>
      <c r="M591" s="489"/>
      <c r="N591" s="490"/>
      <c r="O591" s="494"/>
    </row>
    <row r="592" spans="2:15">
      <c r="B592" s="365" t="s">
        <v>68</v>
      </c>
      <c r="C592" s="365">
        <f t="shared" ref="C592:M592" si="54">SUM(C586:C591)</f>
        <v>90</v>
      </c>
      <c r="D592" s="365">
        <f t="shared" si="54"/>
        <v>15</v>
      </c>
      <c r="E592" s="365">
        <f t="shared" si="54"/>
        <v>70</v>
      </c>
      <c r="F592" s="365">
        <f t="shared" si="54"/>
        <v>120</v>
      </c>
      <c r="G592" s="365">
        <f t="shared" si="54"/>
        <v>90</v>
      </c>
      <c r="H592" s="365">
        <f t="shared" si="54"/>
        <v>30</v>
      </c>
      <c r="I592" s="365">
        <f t="shared" si="54"/>
        <v>120</v>
      </c>
      <c r="J592" s="365">
        <f t="shared" si="54"/>
        <v>100</v>
      </c>
      <c r="K592" s="365">
        <f t="shared" si="54"/>
        <v>151</v>
      </c>
      <c r="L592" s="365">
        <f t="shared" si="54"/>
        <v>50</v>
      </c>
      <c r="M592" s="366">
        <f t="shared" si="54"/>
        <v>786</v>
      </c>
      <c r="N592" s="487">
        <f>M592-K592</f>
        <v>635</v>
      </c>
      <c r="O592" s="497">
        <f>SUM(O586:O590)</f>
        <v>1200</v>
      </c>
    </row>
    <row r="593" spans="2:15">
      <c r="B593" s="364" t="s">
        <v>2469</v>
      </c>
      <c r="C593" s="18">
        <f t="shared" ref="C593:O593" si="55">C592-C590</f>
        <v>90</v>
      </c>
      <c r="D593" s="18">
        <f t="shared" si="55"/>
        <v>15</v>
      </c>
      <c r="E593" s="18">
        <f t="shared" si="55"/>
        <v>70</v>
      </c>
      <c r="F593" s="18">
        <f t="shared" si="55"/>
        <v>120</v>
      </c>
      <c r="G593" s="18">
        <f t="shared" si="55"/>
        <v>60</v>
      </c>
      <c r="H593" s="18">
        <f t="shared" si="55"/>
        <v>30</v>
      </c>
      <c r="I593" s="18">
        <f t="shared" si="55"/>
        <v>120</v>
      </c>
      <c r="J593" s="18">
        <f t="shared" si="55"/>
        <v>100</v>
      </c>
      <c r="K593" s="18">
        <f t="shared" si="55"/>
        <v>151</v>
      </c>
      <c r="L593" s="18">
        <f t="shared" si="55"/>
        <v>50</v>
      </c>
      <c r="M593" s="498">
        <f t="shared" si="55"/>
        <v>756</v>
      </c>
      <c r="N593" s="442">
        <f t="shared" si="55"/>
        <v>605</v>
      </c>
      <c r="O593" s="499">
        <f t="shared" si="55"/>
        <v>1200</v>
      </c>
    </row>
    <row r="594" spans="2:15">
      <c r="B594" s="3"/>
      <c r="L594" s="57"/>
    </row>
    <row r="595" spans="2:15">
      <c r="B595" s="367" t="s">
        <v>2384</v>
      </c>
    </row>
    <row r="596" spans="2:15">
      <c r="B596" s="3" t="s">
        <v>2393</v>
      </c>
      <c r="C596" s="151" t="s">
        <v>2395</v>
      </c>
    </row>
    <row r="597" spans="2:15">
      <c r="B597" s="3"/>
      <c r="C597" s="151" t="s">
        <v>2385</v>
      </c>
    </row>
    <row r="598" spans="2:15">
      <c r="B598" s="3"/>
      <c r="C598" s="151" t="s">
        <v>2394</v>
      </c>
    </row>
    <row r="599" spans="2:15">
      <c r="B599" s="3" t="s">
        <v>1387</v>
      </c>
      <c r="C599" s="151" t="s">
        <v>2386</v>
      </c>
    </row>
    <row r="600" spans="2:15">
      <c r="B600" s="3"/>
    </row>
    <row r="601" spans="2:15">
      <c r="B601" s="3"/>
    </row>
    <row r="602" spans="2:15">
      <c r="B602" s="367" t="s">
        <v>1186</v>
      </c>
    </row>
    <row r="603" spans="2:15">
      <c r="B603" s="368">
        <v>41122</v>
      </c>
    </row>
    <row r="604" spans="2:15">
      <c r="B604" s="3" t="s">
        <v>1188</v>
      </c>
    </row>
    <row r="605" spans="2:15">
      <c r="B605" s="3" t="s">
        <v>1189</v>
      </c>
    </row>
    <row r="606" spans="2:15">
      <c r="B606" s="368">
        <v>40544</v>
      </c>
    </row>
    <row r="607" spans="2:15">
      <c r="B607" s="3" t="s">
        <v>1190</v>
      </c>
    </row>
    <row r="608" spans="2:15">
      <c r="B608" s="3"/>
    </row>
    <row r="609" spans="2:12" ht="15.3">
      <c r="B609" s="602"/>
      <c r="C609" s="602"/>
      <c r="D609" s="603"/>
      <c r="E609" s="604" t="s">
        <v>939</v>
      </c>
      <c r="F609" s="604" t="s">
        <v>938</v>
      </c>
      <c r="G609" s="604" t="s">
        <v>940</v>
      </c>
      <c r="H609" s="604"/>
      <c r="I609" s="602"/>
      <c r="J609" s="602"/>
      <c r="K609" s="602"/>
      <c r="L609" s="605" t="s">
        <v>3269</v>
      </c>
    </row>
    <row r="610" spans="2:12" ht="15.3">
      <c r="B610" s="606"/>
      <c r="C610" s="607">
        <v>700</v>
      </c>
      <c r="D610" s="607" t="s">
        <v>941</v>
      </c>
      <c r="E610" s="608">
        <v>900</v>
      </c>
      <c r="F610" s="608" t="s">
        <v>943</v>
      </c>
      <c r="G610" s="608" t="s">
        <v>942</v>
      </c>
      <c r="H610" s="608" t="s">
        <v>3272</v>
      </c>
      <c r="I610" s="608" t="s">
        <v>3270</v>
      </c>
      <c r="J610" s="608">
        <v>26</v>
      </c>
      <c r="K610" s="608" t="s">
        <v>68</v>
      </c>
      <c r="L610" s="609" t="s">
        <v>2889</v>
      </c>
    </row>
    <row r="611" spans="2:12" ht="15.3">
      <c r="B611" s="610" t="s">
        <v>133</v>
      </c>
      <c r="C611" s="610">
        <f>C586</f>
        <v>30</v>
      </c>
      <c r="D611" s="610"/>
      <c r="E611" s="610">
        <f>E586-10</f>
        <v>10</v>
      </c>
      <c r="F611" s="610">
        <f>F586</f>
        <v>60</v>
      </c>
      <c r="G611" s="610"/>
      <c r="H611" s="610">
        <f>I586</f>
        <v>40</v>
      </c>
      <c r="I611" s="610">
        <v>100</v>
      </c>
      <c r="J611" s="610">
        <f>O586</f>
        <v>400</v>
      </c>
      <c r="K611" s="610">
        <f>SUM(C611:J611)</f>
        <v>640</v>
      </c>
      <c r="L611" s="611">
        <f>K611-J611</f>
        <v>240</v>
      </c>
    </row>
    <row r="612" spans="2:12" ht="15.3">
      <c r="B612" s="602" t="s">
        <v>936</v>
      </c>
      <c r="C612" s="602">
        <f>C587</f>
        <v>20</v>
      </c>
      <c r="D612" s="602"/>
      <c r="E612" s="602">
        <f>E587</f>
        <v>25</v>
      </c>
      <c r="F612" s="602">
        <f>F587</f>
        <v>40</v>
      </c>
      <c r="G612" s="602"/>
      <c r="H612" s="602">
        <f>I587</f>
        <v>40</v>
      </c>
      <c r="I612" s="602">
        <f>K587-20</f>
        <v>30</v>
      </c>
      <c r="J612" s="602">
        <f>O587</f>
        <v>400</v>
      </c>
      <c r="K612" s="602">
        <f>SUM(C612:J612)</f>
        <v>555</v>
      </c>
      <c r="L612" s="612">
        <f>K612-J612</f>
        <v>155</v>
      </c>
    </row>
    <row r="613" spans="2:12" ht="15.3">
      <c r="B613" s="610" t="s">
        <v>937</v>
      </c>
      <c r="C613" s="610">
        <f>C588</f>
        <v>20</v>
      </c>
      <c r="D613" s="610"/>
      <c r="E613" s="610">
        <f>E588</f>
        <v>25</v>
      </c>
      <c r="F613" s="610">
        <v>20</v>
      </c>
      <c r="G613" s="610"/>
      <c r="H613" s="610">
        <f>I588</f>
        <v>40</v>
      </c>
      <c r="I613" s="610">
        <v>50</v>
      </c>
      <c r="J613" s="610"/>
      <c r="K613" s="610">
        <f>SUM(C613:J613)</f>
        <v>155</v>
      </c>
      <c r="L613" s="611">
        <f>K613</f>
        <v>155</v>
      </c>
    </row>
    <row r="614" spans="2:12" ht="15.3">
      <c r="B614" s="602" t="s">
        <v>1636</v>
      </c>
      <c r="C614" s="602">
        <v>20</v>
      </c>
      <c r="D614" s="602">
        <f>D589</f>
        <v>15</v>
      </c>
      <c r="E614" s="602"/>
      <c r="F614" s="602"/>
      <c r="G614" s="602">
        <f>G589+30</f>
        <v>90</v>
      </c>
      <c r="H614" s="602"/>
      <c r="I614" s="602">
        <v>30</v>
      </c>
      <c r="J614" s="602">
        <f>O589</f>
        <v>400</v>
      </c>
      <c r="K614" s="602">
        <f>SUM(C614:J614)</f>
        <v>555</v>
      </c>
      <c r="L614" s="612">
        <f>K614-J614</f>
        <v>155</v>
      </c>
    </row>
    <row r="615" spans="2:12" ht="15.3">
      <c r="B615" s="610" t="s">
        <v>291</v>
      </c>
      <c r="C615" s="610"/>
      <c r="D615" s="610"/>
      <c r="E615" s="610"/>
      <c r="F615" s="610"/>
      <c r="G615" s="610">
        <f>G590</f>
        <v>30</v>
      </c>
      <c r="H615" s="610"/>
      <c r="I615" s="610"/>
      <c r="J615" s="610"/>
      <c r="K615" s="610">
        <f>SUM(C615:I615)</f>
        <v>30</v>
      </c>
      <c r="L615" s="611">
        <f>K615</f>
        <v>30</v>
      </c>
    </row>
    <row r="616" spans="2:12" ht="15.3">
      <c r="B616" s="602"/>
      <c r="C616" s="602"/>
      <c r="D616" s="602"/>
      <c r="E616" s="602"/>
      <c r="F616" s="602"/>
      <c r="G616" s="602"/>
      <c r="H616" s="602"/>
      <c r="I616" s="602"/>
      <c r="J616" s="602"/>
      <c r="K616" s="602"/>
      <c r="L616" s="613"/>
    </row>
    <row r="617" spans="2:12" ht="15.3">
      <c r="B617" s="614" t="s">
        <v>68</v>
      </c>
      <c r="C617" s="614">
        <f t="shared" ref="C617:J617" si="56">SUM(C611:C616)</f>
        <v>90</v>
      </c>
      <c r="D617" s="614">
        <f t="shared" si="56"/>
        <v>15</v>
      </c>
      <c r="E617" s="614">
        <f t="shared" si="56"/>
        <v>60</v>
      </c>
      <c r="F617" s="614">
        <f t="shared" si="56"/>
        <v>120</v>
      </c>
      <c r="G617" s="614">
        <f t="shared" si="56"/>
        <v>120</v>
      </c>
      <c r="H617" s="614">
        <f t="shared" si="56"/>
        <v>120</v>
      </c>
      <c r="I617" s="614">
        <f t="shared" si="56"/>
        <v>210</v>
      </c>
      <c r="J617" s="614">
        <f t="shared" si="56"/>
        <v>1200</v>
      </c>
      <c r="K617" s="614">
        <f>SUM(K611:K615)</f>
        <v>1935</v>
      </c>
      <c r="L617" s="615">
        <f>SUM(L611:L616)</f>
        <v>735</v>
      </c>
    </row>
    <row r="618" spans="2:12" ht="15.3">
      <c r="B618" s="602" t="s">
        <v>3271</v>
      </c>
      <c r="C618" s="602"/>
      <c r="D618" s="602"/>
      <c r="E618" s="602"/>
      <c r="F618" s="602"/>
      <c r="G618" s="602"/>
      <c r="H618" s="602"/>
      <c r="I618" s="602"/>
      <c r="J618" s="602"/>
      <c r="K618" s="602"/>
      <c r="L618" s="602"/>
    </row>
    <row r="619" spans="2:12" ht="15.3">
      <c r="B619" s="602" t="s">
        <v>3273</v>
      </c>
      <c r="C619" s="602"/>
      <c r="D619" s="602"/>
      <c r="E619" s="602"/>
      <c r="F619" s="602"/>
      <c r="G619" s="602"/>
      <c r="H619" s="602"/>
      <c r="I619" s="602"/>
      <c r="J619" s="602"/>
      <c r="K619" s="602"/>
      <c r="L619" s="602"/>
    </row>
    <row r="620" spans="2:12">
      <c r="B620" s="3"/>
    </row>
    <row r="621" spans="2:12">
      <c r="B621" s="306" t="s">
        <v>30</v>
      </c>
    </row>
    <row r="622" spans="2:12">
      <c r="B622" s="272"/>
      <c r="C622" s="270" t="s">
        <v>1259</v>
      </c>
      <c r="D622" s="108" t="s">
        <v>1261</v>
      </c>
      <c r="E622" s="108" t="s">
        <v>1260</v>
      </c>
      <c r="F622" s="108" t="s">
        <v>1265</v>
      </c>
      <c r="G622" s="108" t="s">
        <v>1263</v>
      </c>
    </row>
    <row r="623" spans="2:12">
      <c r="B623" s="3" t="s">
        <v>1258</v>
      </c>
      <c r="C623" s="14">
        <v>41456</v>
      </c>
      <c r="D623" t="s">
        <v>1262</v>
      </c>
      <c r="E623">
        <v>20</v>
      </c>
      <c r="F623">
        <v>105.5</v>
      </c>
      <c r="G623" t="s">
        <v>1264</v>
      </c>
    </row>
    <row r="624" spans="2:12">
      <c r="B624" s="3" t="s">
        <v>134</v>
      </c>
      <c r="C624" s="14">
        <v>41456</v>
      </c>
      <c r="D624" t="s">
        <v>1262</v>
      </c>
      <c r="E624">
        <v>20</v>
      </c>
      <c r="F624">
        <v>152.19999999999999</v>
      </c>
      <c r="G624" t="s">
        <v>1264</v>
      </c>
    </row>
    <row r="625" spans="2:18">
      <c r="B625" s="3" t="s">
        <v>1187</v>
      </c>
      <c r="C625" s="14"/>
      <c r="D625" s="148">
        <v>800</v>
      </c>
      <c r="E625">
        <v>30</v>
      </c>
      <c r="H625" s="3"/>
    </row>
    <row r="626" spans="2:18">
      <c r="B626" s="3"/>
      <c r="C626" s="14"/>
      <c r="D626" s="148">
        <v>1.9</v>
      </c>
      <c r="E626">
        <v>25</v>
      </c>
      <c r="H626" s="3"/>
    </row>
    <row r="627" spans="2:18">
      <c r="B627" s="381" t="s">
        <v>30</v>
      </c>
    </row>
    <row r="628" spans="2:18">
      <c r="B628" s="3"/>
      <c r="C628" s="3"/>
      <c r="D628" s="3" t="s">
        <v>2401</v>
      </c>
      <c r="E628" s="3" t="s">
        <v>2399</v>
      </c>
      <c r="F628" s="341" t="s">
        <v>2397</v>
      </c>
      <c r="G628" s="341" t="s">
        <v>2403</v>
      </c>
      <c r="H628" s="341" t="s">
        <v>2405</v>
      </c>
      <c r="I628" s="341" t="s">
        <v>2407</v>
      </c>
      <c r="J628" s="341" t="s">
        <v>2471</v>
      </c>
      <c r="K628" s="341"/>
      <c r="L628" s="341"/>
    </row>
    <row r="629" spans="2:18" ht="14.7" thickBot="1">
      <c r="B629" s="3"/>
      <c r="C629" s="3"/>
      <c r="D629" s="3" t="s">
        <v>2402</v>
      </c>
      <c r="E629" s="3" t="s">
        <v>2400</v>
      </c>
      <c r="F629" s="341" t="s">
        <v>2398</v>
      </c>
      <c r="G629" s="341" t="s">
        <v>2404</v>
      </c>
      <c r="H629" s="341" t="s">
        <v>2406</v>
      </c>
      <c r="I629" s="341" t="s">
        <v>2408</v>
      </c>
      <c r="J629" s="341" t="s">
        <v>2472</v>
      </c>
      <c r="K629" s="341"/>
      <c r="L629" s="341"/>
    </row>
    <row r="630" spans="2:18">
      <c r="B630" s="3"/>
      <c r="C630" s="3"/>
      <c r="D630" s="3"/>
      <c r="E630" s="3"/>
      <c r="F630" s="341" t="s">
        <v>939</v>
      </c>
      <c r="G630" s="341" t="s">
        <v>1377</v>
      </c>
      <c r="H630" s="341" t="s">
        <v>938</v>
      </c>
      <c r="I630" s="341" t="s">
        <v>940</v>
      </c>
      <c r="J630" s="341" t="s">
        <v>2409</v>
      </c>
      <c r="K630" s="341"/>
      <c r="L630" s="341"/>
      <c r="N630" s="431" t="s">
        <v>267</v>
      </c>
      <c r="O630" s="432"/>
      <c r="Q630" s="341" t="str">
        <f>N630</f>
        <v>Mobile</v>
      </c>
      <c r="R630" s="341"/>
    </row>
    <row r="631" spans="2:18">
      <c r="B631" s="2"/>
      <c r="C631" s="342">
        <v>450</v>
      </c>
      <c r="D631" s="342">
        <v>700</v>
      </c>
      <c r="E631" s="342" t="s">
        <v>941</v>
      </c>
      <c r="F631" s="342">
        <v>850</v>
      </c>
      <c r="G631" s="343">
        <v>900</v>
      </c>
      <c r="H631" s="343" t="s">
        <v>943</v>
      </c>
      <c r="I631" s="343" t="s">
        <v>942</v>
      </c>
      <c r="J631" s="143"/>
      <c r="K631" s="343" t="s">
        <v>1639</v>
      </c>
      <c r="L631" s="343" t="s">
        <v>2396</v>
      </c>
      <c r="M631" s="343">
        <v>3.5</v>
      </c>
      <c r="N631" s="433" t="s">
        <v>2413</v>
      </c>
      <c r="O631" s="434" t="s">
        <v>68</v>
      </c>
      <c r="Q631" s="342" t="str">
        <f>N631</f>
        <v>service</v>
      </c>
      <c r="R631" s="342" t="str">
        <f>O631</f>
        <v>Total</v>
      </c>
    </row>
    <row r="632" spans="2:18">
      <c r="B632" s="344" t="s">
        <v>936</v>
      </c>
      <c r="C632" s="344">
        <v>10</v>
      </c>
      <c r="D632" s="344">
        <v>30</v>
      </c>
      <c r="E632" s="344"/>
      <c r="F632" s="344">
        <v>25</v>
      </c>
      <c r="G632" s="344"/>
      <c r="H632" s="344">
        <v>35</v>
      </c>
      <c r="I632" s="344"/>
      <c r="J632" s="344"/>
      <c r="K632" s="344">
        <v>70</v>
      </c>
      <c r="L632" s="344">
        <v>60</v>
      </c>
      <c r="M632" s="344">
        <f>M637-M633-M634-M635</f>
        <v>96</v>
      </c>
      <c r="N632" s="435">
        <f>SUM(D632:I632)-E632</f>
        <v>90</v>
      </c>
      <c r="O632" s="436">
        <f>SUM(C632:M632)</f>
        <v>326</v>
      </c>
      <c r="P632" t="s">
        <v>2482</v>
      </c>
      <c r="Q632" s="5">
        <f t="shared" ref="Q632:R635" si="57">N632/N$637</f>
        <v>0.22443890274314215</v>
      </c>
      <c r="R632" s="5">
        <f t="shared" si="57"/>
        <v>0.32534930139720558</v>
      </c>
    </row>
    <row r="633" spans="2:18">
      <c r="B633" s="3" t="s">
        <v>134</v>
      </c>
      <c r="C633" s="3">
        <v>10</v>
      </c>
      <c r="D633" s="3">
        <v>30</v>
      </c>
      <c r="E633" s="3"/>
      <c r="F633" s="3">
        <v>25</v>
      </c>
      <c r="G633" s="3">
        <v>12</v>
      </c>
      <c r="H633" s="3">
        <v>25</v>
      </c>
      <c r="I633" s="3">
        <v>40</v>
      </c>
      <c r="J633" s="3"/>
      <c r="K633" s="3"/>
      <c r="L633" s="3"/>
      <c r="M633" s="3">
        <v>50</v>
      </c>
      <c r="N633" s="437">
        <f>SUM(D633:I633)-E633</f>
        <v>132</v>
      </c>
      <c r="O633" s="438">
        <f>SUM(C633:M633)</f>
        <v>192</v>
      </c>
      <c r="Q633" s="5">
        <f t="shared" si="57"/>
        <v>0.32917705735660846</v>
      </c>
      <c r="R633" s="5">
        <f t="shared" si="57"/>
        <v>0.19161676646706588</v>
      </c>
    </row>
    <row r="634" spans="2:18">
      <c r="B634" s="344" t="s">
        <v>133</v>
      </c>
      <c r="C634" s="344"/>
      <c r="D634" s="344">
        <v>30</v>
      </c>
      <c r="E634" s="344">
        <v>22</v>
      </c>
      <c r="F634" s="344"/>
      <c r="G634" s="344"/>
      <c r="H634" s="344">
        <v>35</v>
      </c>
      <c r="I634" s="344">
        <v>40</v>
      </c>
      <c r="J634" s="344"/>
      <c r="K634" s="344">
        <v>30</v>
      </c>
      <c r="L634" s="344">
        <v>130</v>
      </c>
      <c r="M634" s="344">
        <v>54</v>
      </c>
      <c r="N634" s="435">
        <f>SUM(D634:I634)-E634</f>
        <v>105</v>
      </c>
      <c r="O634" s="436">
        <f>SUM(C634:M634)</f>
        <v>341</v>
      </c>
      <c r="Q634" s="5">
        <f t="shared" si="57"/>
        <v>0.26184538653366585</v>
      </c>
      <c r="R634" s="5">
        <f t="shared" si="57"/>
        <v>0.34031936127744511</v>
      </c>
    </row>
    <row r="635" spans="2:18">
      <c r="B635" s="3" t="s">
        <v>2486</v>
      </c>
      <c r="C635" s="3"/>
      <c r="D635" s="3"/>
      <c r="E635" s="3"/>
      <c r="F635" s="3"/>
      <c r="G635" s="447" t="s">
        <v>2480</v>
      </c>
      <c r="H635" s="447" t="s">
        <v>2484</v>
      </c>
      <c r="I635" s="3"/>
      <c r="J635" s="3"/>
      <c r="K635" s="3"/>
      <c r="L635" s="447" t="s">
        <v>2483</v>
      </c>
      <c r="M635" s="3"/>
      <c r="N635" s="448" t="s">
        <v>2485</v>
      </c>
      <c r="O635" s="449" t="str">
        <f>N635</f>
        <v>57/91</v>
      </c>
      <c r="Q635" s="82" t="e">
        <f t="shared" si="57"/>
        <v>#VALUE!</v>
      </c>
      <c r="R635" s="82" t="e">
        <f t="shared" si="57"/>
        <v>#VALUE!</v>
      </c>
    </row>
    <row r="636" spans="2:18">
      <c r="B636" s="443" t="s">
        <v>2470</v>
      </c>
      <c r="C636" s="443"/>
      <c r="D636" s="443"/>
      <c r="E636" s="443"/>
      <c r="F636" s="443"/>
      <c r="G636" s="443">
        <v>8</v>
      </c>
      <c r="H636" s="443"/>
      <c r="I636" s="443">
        <v>10</v>
      </c>
      <c r="J636" s="443">
        <f>J637</f>
        <v>50</v>
      </c>
      <c r="K636" s="443"/>
      <c r="L636" s="443"/>
      <c r="M636" s="443"/>
      <c r="N636" s="444"/>
      <c r="O636" s="445">
        <f>SUM(C636:M636)</f>
        <v>68</v>
      </c>
      <c r="P636" t="s">
        <v>2481</v>
      </c>
      <c r="Q636" s="5"/>
      <c r="R636" s="5"/>
    </row>
    <row r="637" spans="2:18" ht="14.7" thickBot="1">
      <c r="B637" s="3" t="s">
        <v>2894</v>
      </c>
      <c r="C637" s="3">
        <f>SUM(C632:C635)</f>
        <v>20</v>
      </c>
      <c r="D637" s="3">
        <f>SUM(D632:D635)</f>
        <v>90</v>
      </c>
      <c r="E637" s="3">
        <f>SUM(E632:E635)</f>
        <v>22</v>
      </c>
      <c r="F637" s="3">
        <v>50</v>
      </c>
      <c r="G637" s="3">
        <f>42+G636</f>
        <v>50</v>
      </c>
      <c r="H637" s="3">
        <v>120</v>
      </c>
      <c r="I637" s="3">
        <f>I633+I634+I636</f>
        <v>90</v>
      </c>
      <c r="J637" s="3">
        <v>50</v>
      </c>
      <c r="K637" s="3">
        <v>100</v>
      </c>
      <c r="L637" s="3">
        <f>L632+L634+(0+40)/2</f>
        <v>210</v>
      </c>
      <c r="M637" s="3">
        <v>200</v>
      </c>
      <c r="N637" s="439">
        <f>SUM(N632:N634)+74</f>
        <v>401</v>
      </c>
      <c r="O637" s="450">
        <f>SUM(C637:M637)</f>
        <v>1002</v>
      </c>
      <c r="Q637" s="5">
        <f>N637/N$637</f>
        <v>1</v>
      </c>
      <c r="R637" s="5">
        <f>O637/O$637</f>
        <v>1</v>
      </c>
    </row>
    <row r="638" spans="2:18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10"/>
      <c r="M638" s="10"/>
      <c r="N638" s="3"/>
      <c r="O638" s="3"/>
      <c r="Q638" s="5"/>
    </row>
    <row r="639" spans="2:18">
      <c r="B639" s="367" t="s">
        <v>2418</v>
      </c>
      <c r="C639" s="3"/>
      <c r="D639" s="3"/>
      <c r="E639" s="3"/>
      <c r="F639" s="3"/>
      <c r="G639" s="3"/>
      <c r="H639" s="3"/>
      <c r="I639" s="3"/>
      <c r="J639" s="3"/>
      <c r="K639" s="3"/>
      <c r="L639" s="10"/>
      <c r="M639" s="10"/>
      <c r="N639" s="3"/>
      <c r="O639" s="3"/>
      <c r="Q639" s="5"/>
    </row>
    <row r="640" spans="2:18">
      <c r="B640" s="3" t="str">
        <f>B632</f>
        <v>Claro</v>
      </c>
      <c r="C640" s="3"/>
      <c r="D640" s="3"/>
      <c r="E640" s="3"/>
      <c r="F640" s="152" t="s">
        <v>1631</v>
      </c>
      <c r="G640" s="152"/>
      <c r="H640" s="152" t="s">
        <v>2416</v>
      </c>
      <c r="I640" s="152"/>
      <c r="J640" s="3"/>
      <c r="K640" s="3"/>
      <c r="L640" s="10"/>
      <c r="M640" s="10"/>
      <c r="N640" s="3"/>
      <c r="O640" s="3"/>
      <c r="Q640" s="5"/>
    </row>
    <row r="641" spans="2:19">
      <c r="B641" s="3" t="str">
        <f>B633</f>
        <v>TEF</v>
      </c>
      <c r="C641" s="3"/>
      <c r="D641" s="3"/>
      <c r="E641" s="3"/>
      <c r="F641" s="152" t="s">
        <v>2417</v>
      </c>
      <c r="G641" s="152"/>
      <c r="H641" s="152" t="s">
        <v>2415</v>
      </c>
      <c r="I641" s="152" t="s">
        <v>1881</v>
      </c>
      <c r="J641" s="3"/>
      <c r="K641" s="3"/>
      <c r="L641" s="10"/>
      <c r="M641" s="10"/>
      <c r="N641" s="3"/>
      <c r="O641" s="3"/>
      <c r="Q641" s="5"/>
    </row>
    <row r="642" spans="2:19">
      <c r="B642" s="3" t="str">
        <f>B634</f>
        <v>Entel</v>
      </c>
      <c r="C642" s="3"/>
      <c r="D642" s="3"/>
      <c r="E642" s="3"/>
      <c r="F642" s="152"/>
      <c r="G642" s="152"/>
      <c r="H642" s="152" t="s">
        <v>1631</v>
      </c>
      <c r="I642" s="152" t="s">
        <v>1881</v>
      </c>
      <c r="J642" s="3"/>
      <c r="K642" s="3"/>
      <c r="L642" s="10"/>
      <c r="M642" s="10"/>
      <c r="N642" s="3"/>
      <c r="O642" s="3"/>
      <c r="Q642" s="5"/>
    </row>
    <row r="643" spans="2:19">
      <c r="B643" s="3" t="str">
        <f>B635</f>
        <v>Bitel (Lima&amp;Callao/ Rest of Peru)</v>
      </c>
      <c r="C643" s="3"/>
      <c r="D643" s="3"/>
      <c r="E643" s="3"/>
      <c r="F643" s="152"/>
      <c r="G643" s="152" t="s">
        <v>2417</v>
      </c>
      <c r="H643" s="152" t="s">
        <v>2417</v>
      </c>
      <c r="I643" s="152"/>
      <c r="J643" s="3"/>
      <c r="K643" s="3"/>
      <c r="L643" s="10"/>
      <c r="M643" s="10"/>
      <c r="N643" s="3"/>
      <c r="O643" s="3"/>
      <c r="Q643" s="5"/>
    </row>
    <row r="644" spans="2:19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10"/>
      <c r="M644" s="10"/>
      <c r="N644" s="3"/>
      <c r="O644" s="3"/>
      <c r="Q644" s="5"/>
    </row>
    <row r="645" spans="2:19">
      <c r="B645" s="367" t="s">
        <v>2419</v>
      </c>
      <c r="C645" s="3"/>
      <c r="D645" s="3"/>
      <c r="E645" s="3"/>
      <c r="F645" s="3"/>
      <c r="G645" s="3"/>
      <c r="H645" s="3"/>
      <c r="I645" s="3"/>
      <c r="J645" s="3"/>
      <c r="K645" s="3"/>
      <c r="M645" s="10"/>
      <c r="N645" s="3"/>
      <c r="O645" s="3"/>
      <c r="Q645" s="3"/>
      <c r="R645" s="3"/>
      <c r="S645" s="5"/>
    </row>
    <row r="646" spans="2:19">
      <c r="B646" s="3" t="s">
        <v>2411</v>
      </c>
      <c r="C646" s="313"/>
      <c r="D646" s="313"/>
      <c r="E646" s="313"/>
      <c r="F646" s="313"/>
      <c r="G646" s="313"/>
      <c r="H646" s="313"/>
      <c r="I646" s="313"/>
      <c r="J646" s="313"/>
      <c r="K646" s="10">
        <v>30</v>
      </c>
      <c r="L646" s="10">
        <v>20</v>
      </c>
      <c r="O646" s="3"/>
      <c r="P646" s="3"/>
      <c r="Q646" s="5"/>
    </row>
    <row r="647" spans="2:19">
      <c r="B647" s="3" t="s">
        <v>2412</v>
      </c>
      <c r="C647" s="313"/>
      <c r="D647" s="313"/>
      <c r="E647" s="313"/>
      <c r="F647" s="313"/>
      <c r="G647" s="313"/>
      <c r="H647" s="313"/>
      <c r="I647" s="313"/>
      <c r="J647" s="313"/>
      <c r="K647" s="10">
        <v>30</v>
      </c>
      <c r="L647" s="10">
        <v>40</v>
      </c>
      <c r="O647" s="3"/>
      <c r="P647" s="3"/>
      <c r="Q647" s="5"/>
    </row>
    <row r="648" spans="2:19">
      <c r="B648" s="3" t="s">
        <v>2410</v>
      </c>
      <c r="C648" s="313"/>
      <c r="D648" s="313"/>
      <c r="E648" s="313"/>
      <c r="F648" s="313"/>
      <c r="G648" s="313"/>
      <c r="H648" s="313"/>
      <c r="I648" s="313"/>
      <c r="J648" s="313"/>
      <c r="K648" s="10">
        <v>85</v>
      </c>
      <c r="L648" s="10">
        <v>114</v>
      </c>
      <c r="O648" s="3"/>
      <c r="P648" s="3"/>
      <c r="Q648" s="5"/>
    </row>
    <row r="649" spans="2:19">
      <c r="B649" s="382"/>
      <c r="C649" s="313"/>
      <c r="D649" s="313"/>
      <c r="E649" s="313"/>
      <c r="F649" s="313"/>
      <c r="G649" s="313"/>
      <c r="H649" s="313"/>
      <c r="I649" s="313"/>
      <c r="J649" s="313"/>
      <c r="K649" s="313"/>
      <c r="L649" s="10"/>
      <c r="O649" s="3"/>
      <c r="P649" s="3"/>
      <c r="Q649" s="5"/>
    </row>
    <row r="650" spans="2:19">
      <c r="B650" s="3" t="s">
        <v>2420</v>
      </c>
      <c r="C650" s="313"/>
      <c r="D650" s="313"/>
      <c r="E650" s="313"/>
      <c r="F650" s="313"/>
      <c r="G650" s="313"/>
      <c r="H650" s="313"/>
      <c r="I650" s="313"/>
      <c r="J650" s="313"/>
      <c r="K650" s="313"/>
      <c r="L650" s="10"/>
      <c r="O650" s="3"/>
      <c r="P650" s="3"/>
      <c r="Q650" s="5"/>
    </row>
    <row r="651" spans="2:19">
      <c r="B651" s="3" t="s">
        <v>2421</v>
      </c>
      <c r="C651" s="313"/>
      <c r="D651" s="313"/>
      <c r="E651" s="313"/>
      <c r="F651" s="313"/>
      <c r="G651" s="313"/>
      <c r="H651" s="313"/>
      <c r="I651" s="313"/>
      <c r="J651" s="313"/>
      <c r="K651" s="313"/>
      <c r="L651" s="10"/>
      <c r="O651" s="3"/>
      <c r="P651" s="3"/>
      <c r="Q651" s="5"/>
    </row>
    <row r="652" spans="2:19">
      <c r="B652" s="3" t="s">
        <v>2422</v>
      </c>
      <c r="C652" s="313"/>
      <c r="D652" s="313"/>
      <c r="E652" s="313"/>
      <c r="F652" s="313"/>
      <c r="G652" s="313"/>
      <c r="H652" s="313"/>
      <c r="I652" s="313"/>
      <c r="J652" s="313"/>
      <c r="K652" s="313"/>
      <c r="L652" s="10"/>
      <c r="O652" s="3"/>
      <c r="P652" s="3"/>
      <c r="Q652" s="5"/>
    </row>
    <row r="653" spans="2:19">
      <c r="B653" s="3"/>
      <c r="C653" s="313"/>
      <c r="D653" s="313"/>
      <c r="E653" s="313"/>
      <c r="F653" s="313"/>
      <c r="G653" s="313"/>
      <c r="H653" s="313"/>
      <c r="I653" s="313"/>
      <c r="J653" s="313"/>
      <c r="K653" s="313"/>
      <c r="L653" s="10"/>
      <c r="O653" s="3"/>
      <c r="P653" s="3"/>
      <c r="Q653" s="5"/>
    </row>
    <row r="654" spans="2:19">
      <c r="B654" s="382"/>
      <c r="C654" s="313"/>
      <c r="D654" s="313"/>
      <c r="E654" s="313"/>
      <c r="F654" s="313"/>
      <c r="G654" s="313"/>
      <c r="H654" s="313"/>
      <c r="I654" s="313"/>
      <c r="J654" s="313"/>
      <c r="K654" s="313"/>
      <c r="L654" s="10"/>
      <c r="O654" s="3"/>
      <c r="P654" s="3"/>
      <c r="Q654" s="5"/>
    </row>
    <row r="655" spans="2:19">
      <c r="B655" s="367" t="s">
        <v>2384</v>
      </c>
      <c r="C655" s="313"/>
      <c r="D655" s="313"/>
      <c r="E655" s="313"/>
      <c r="F655" s="313"/>
      <c r="G655" s="313"/>
      <c r="H655" s="313"/>
      <c r="I655" s="313"/>
      <c r="J655" s="313"/>
      <c r="K655" s="313"/>
    </row>
    <row r="656" spans="2:19">
      <c r="B656" s="3" t="s">
        <v>2387</v>
      </c>
      <c r="C656" s="313" t="s">
        <v>2388</v>
      </c>
      <c r="D656" s="313"/>
      <c r="E656" s="313"/>
      <c r="F656" s="313"/>
      <c r="G656" s="313"/>
      <c r="H656" s="313"/>
      <c r="I656" s="313"/>
      <c r="J656" s="313"/>
      <c r="K656" s="313"/>
    </row>
    <row r="657" spans="2:11">
      <c r="B657" s="3" t="s">
        <v>2389</v>
      </c>
      <c r="C657" s="313" t="s">
        <v>2392</v>
      </c>
      <c r="D657" s="313"/>
      <c r="E657" s="313"/>
      <c r="F657" s="313"/>
      <c r="G657" s="313"/>
      <c r="H657" s="313"/>
      <c r="I657" s="313"/>
      <c r="J657" s="313"/>
      <c r="K657" s="313"/>
    </row>
    <row r="658" spans="2:11">
      <c r="B658" s="3" t="s">
        <v>2390</v>
      </c>
      <c r="C658" s="313" t="s">
        <v>2391</v>
      </c>
      <c r="D658" s="313"/>
      <c r="E658" s="313"/>
      <c r="F658" s="313"/>
      <c r="G658" s="313"/>
      <c r="H658" s="313"/>
      <c r="I658" s="313"/>
      <c r="J658" s="313"/>
      <c r="K658" s="313"/>
    </row>
    <row r="659" spans="2:11">
      <c r="B659" s="3"/>
      <c r="C659" s="313"/>
      <c r="D659" s="313"/>
      <c r="E659" s="313"/>
      <c r="F659" s="313"/>
      <c r="G659" s="313"/>
      <c r="H659" s="313"/>
      <c r="I659" s="313"/>
      <c r="J659" s="313"/>
      <c r="K659" s="313"/>
    </row>
    <row r="660" spans="2:11">
      <c r="B660" s="382" t="s">
        <v>1884</v>
      </c>
      <c r="C660" s="313"/>
      <c r="D660" s="313"/>
      <c r="E660" s="313"/>
      <c r="F660" s="313"/>
      <c r="G660" s="313"/>
      <c r="H660" s="313"/>
      <c r="I660" s="313"/>
      <c r="J660" s="313"/>
      <c r="K660" s="313"/>
    </row>
    <row r="661" spans="2:11">
      <c r="B661" s="382"/>
      <c r="C661" s="313"/>
      <c r="D661" s="313"/>
      <c r="E661" s="313"/>
      <c r="F661" s="313"/>
      <c r="G661" s="313"/>
      <c r="H661" s="313"/>
      <c r="I661" s="313"/>
      <c r="J661" s="313"/>
      <c r="K661" s="313"/>
    </row>
    <row r="662" spans="2:11">
      <c r="B662" s="429">
        <v>2012</v>
      </c>
      <c r="C662" s="313"/>
      <c r="D662" s="313"/>
      <c r="E662" s="313"/>
      <c r="F662" s="313"/>
      <c r="G662" s="313"/>
      <c r="H662" s="313"/>
      <c r="I662" s="313"/>
      <c r="J662" s="313"/>
      <c r="K662" s="313"/>
    </row>
    <row r="663" spans="2:11">
      <c r="B663" s="415" t="s">
        <v>2414</v>
      </c>
      <c r="C663" s="313"/>
      <c r="D663" s="313"/>
      <c r="E663" s="313"/>
      <c r="F663" s="313"/>
      <c r="G663" s="313"/>
      <c r="H663" s="313"/>
      <c r="I663" s="313"/>
      <c r="J663" s="313"/>
      <c r="K663" s="313"/>
    </row>
    <row r="664" spans="2:11">
      <c r="B664" s="382"/>
      <c r="C664" s="313"/>
      <c r="D664" s="313"/>
      <c r="E664" s="313"/>
      <c r="F664" s="313"/>
      <c r="G664" s="313"/>
      <c r="H664" s="313"/>
      <c r="I664" s="313"/>
      <c r="J664" s="313"/>
      <c r="K664" s="313"/>
    </row>
    <row r="665" spans="2:11">
      <c r="B665" s="430">
        <v>41487</v>
      </c>
      <c r="C665" s="313"/>
      <c r="D665" s="313"/>
      <c r="E665" s="313"/>
      <c r="F665" s="313"/>
      <c r="G665" s="313"/>
      <c r="H665" s="313"/>
      <c r="I665" s="313"/>
      <c r="J665" s="313"/>
      <c r="K665" s="313"/>
    </row>
    <row r="666" spans="2:11">
      <c r="B666" s="313" t="s">
        <v>1885</v>
      </c>
      <c r="C666" s="313"/>
      <c r="D666" s="313"/>
      <c r="E666" s="313"/>
      <c r="F666" s="313"/>
      <c r="G666" s="313"/>
      <c r="H666" s="313"/>
      <c r="I666" s="313"/>
      <c r="J666" s="313"/>
      <c r="K666" s="313"/>
    </row>
    <row r="667" spans="2:11">
      <c r="B667" s="382"/>
      <c r="C667" s="313"/>
      <c r="D667" s="313"/>
      <c r="E667" s="313"/>
      <c r="F667" s="313"/>
      <c r="G667" s="313"/>
      <c r="H667" s="313"/>
      <c r="I667" s="313"/>
      <c r="J667" s="313"/>
      <c r="K667" s="313"/>
    </row>
    <row r="668" spans="2:11">
      <c r="B668" s="430">
        <v>41699</v>
      </c>
      <c r="C668" s="313"/>
      <c r="D668" s="313"/>
      <c r="E668" s="313"/>
      <c r="F668" s="313"/>
      <c r="G668" s="313"/>
      <c r="H668" s="313"/>
      <c r="I668" s="313"/>
      <c r="J668" s="313"/>
      <c r="K668" s="313"/>
    </row>
    <row r="669" spans="2:11">
      <c r="B669" s="412" t="s">
        <v>1888</v>
      </c>
      <c r="C669" s="313"/>
      <c r="D669" s="313"/>
      <c r="E669" s="313"/>
      <c r="F669" s="313"/>
      <c r="G669" s="313"/>
      <c r="H669" s="313"/>
      <c r="I669" s="313"/>
      <c r="J669" s="313"/>
      <c r="K669" s="313"/>
    </row>
    <row r="670" spans="2:11">
      <c r="B670" s="382"/>
      <c r="C670" s="313"/>
      <c r="D670" s="313"/>
      <c r="E670" s="313"/>
      <c r="F670" s="313"/>
      <c r="G670" s="313"/>
      <c r="H670" s="313"/>
      <c r="I670" s="313"/>
      <c r="J670" s="313"/>
      <c r="K670" s="313"/>
    </row>
    <row r="671" spans="2:11">
      <c r="B671" s="429">
        <v>2016</v>
      </c>
      <c r="C671" s="313"/>
      <c r="D671" s="313"/>
      <c r="E671" s="313"/>
      <c r="F671" s="313"/>
      <c r="G671" s="313"/>
      <c r="H671" s="313"/>
      <c r="I671" s="313"/>
      <c r="J671" s="313"/>
      <c r="K671" s="313"/>
    </row>
    <row r="672" spans="2:11">
      <c r="B672" s="313" t="s">
        <v>1886</v>
      </c>
      <c r="C672" s="313"/>
      <c r="D672" s="313"/>
      <c r="E672" s="313"/>
      <c r="F672" s="313"/>
      <c r="G672" s="313"/>
      <c r="H672" s="313"/>
      <c r="I672" s="313"/>
      <c r="J672" s="313"/>
      <c r="K672" s="313"/>
    </row>
    <row r="673" spans="2:22">
      <c r="B673" s="382"/>
      <c r="C673" s="313"/>
      <c r="D673" s="313"/>
      <c r="E673" s="313"/>
      <c r="F673" s="313"/>
      <c r="G673" s="313"/>
      <c r="H673" s="313"/>
      <c r="I673" s="313"/>
      <c r="J673" s="313"/>
      <c r="K673" s="313"/>
    </row>
    <row r="674" spans="2:22">
      <c r="B674" s="383" t="s">
        <v>1873</v>
      </c>
      <c r="C674" s="313"/>
      <c r="D674" s="313"/>
      <c r="E674" s="313"/>
      <c r="F674" s="313"/>
      <c r="G674" s="313"/>
      <c r="H674" s="313"/>
      <c r="I674" s="313"/>
      <c r="J674" s="313"/>
      <c r="K674" s="313"/>
    </row>
    <row r="675" spans="2:22">
      <c r="B675" s="412" t="s">
        <v>133</v>
      </c>
      <c r="C675" s="313">
        <v>290</v>
      </c>
      <c r="D675" s="313">
        <f>2*15</f>
        <v>30</v>
      </c>
      <c r="E675" s="313"/>
      <c r="F675" s="313"/>
      <c r="G675" s="313"/>
      <c r="H675" s="313"/>
      <c r="I675" s="313"/>
      <c r="J675" s="313"/>
      <c r="K675" s="313"/>
    </row>
    <row r="676" spans="2:22">
      <c r="B676" s="412" t="s">
        <v>936</v>
      </c>
      <c r="C676" s="313">
        <v>306</v>
      </c>
      <c r="D676" s="313">
        <f>2*15</f>
        <v>30</v>
      </c>
      <c r="E676" s="313"/>
      <c r="F676" s="313"/>
      <c r="G676" s="313"/>
      <c r="H676" s="313"/>
      <c r="I676" s="313"/>
      <c r="J676" s="313"/>
      <c r="K676" s="313"/>
    </row>
    <row r="677" spans="2:22">
      <c r="B677" s="311" t="s">
        <v>937</v>
      </c>
      <c r="C677" s="311">
        <v>315</v>
      </c>
      <c r="D677" s="311">
        <f>2*15</f>
        <v>30</v>
      </c>
      <c r="E677" s="313"/>
      <c r="F677" s="313"/>
      <c r="G677" s="313"/>
      <c r="H677" s="313"/>
      <c r="I677" s="313"/>
      <c r="J677" s="313"/>
      <c r="K677" s="313"/>
    </row>
    <row r="678" spans="2:22">
      <c r="B678" s="313" t="s">
        <v>68</v>
      </c>
      <c r="C678" s="313">
        <f>SUM(C675:C677)</f>
        <v>911</v>
      </c>
      <c r="D678" s="313">
        <f>SUM(D675:D677)</f>
        <v>90</v>
      </c>
      <c r="E678" s="313"/>
      <c r="F678" s="313">
        <f>C678/32/D678</f>
        <v>0.31631944444444443</v>
      </c>
      <c r="G678" s="313"/>
      <c r="H678" s="313"/>
      <c r="I678" s="313"/>
      <c r="J678" s="313"/>
      <c r="K678" s="313"/>
    </row>
    <row r="679" spans="2:22">
      <c r="B679" s="313"/>
      <c r="C679" s="313"/>
      <c r="D679" s="313"/>
      <c r="E679" s="313"/>
      <c r="F679" s="313"/>
      <c r="G679" s="313"/>
      <c r="H679" s="313"/>
      <c r="I679" s="313"/>
      <c r="J679" s="313"/>
      <c r="K679" s="313"/>
    </row>
    <row r="680" spans="2:22">
      <c r="B680" s="429">
        <v>2016</v>
      </c>
      <c r="C680" s="313"/>
      <c r="D680" s="313"/>
      <c r="E680" s="313"/>
      <c r="F680" s="313"/>
      <c r="G680" s="313"/>
      <c r="H680" s="313"/>
      <c r="I680" s="313"/>
      <c r="J680" s="313"/>
      <c r="K680" s="313"/>
    </row>
    <row r="681" spans="2:22">
      <c r="B681" s="313" t="s">
        <v>1889</v>
      </c>
      <c r="C681" s="313"/>
      <c r="D681" s="313"/>
      <c r="E681" s="313"/>
      <c r="F681" s="313"/>
      <c r="G681" s="313"/>
      <c r="H681" s="313"/>
      <c r="I681" s="313"/>
      <c r="J681" s="313"/>
      <c r="K681" s="313"/>
      <c r="Q681" s="57"/>
    </row>
    <row r="682" spans="2:22">
      <c r="B682" s="382"/>
      <c r="C682" s="313"/>
      <c r="D682" s="313"/>
      <c r="E682" s="313"/>
      <c r="F682" s="313"/>
      <c r="G682" s="313"/>
      <c r="H682" s="313" t="s">
        <v>68</v>
      </c>
      <c r="J682" s="313"/>
      <c r="K682" s="313"/>
      <c r="L682" s="313"/>
      <c r="P682" s="313" t="s">
        <v>1881</v>
      </c>
      <c r="Q682" s="313"/>
      <c r="R682" s="313"/>
      <c r="S682" s="313"/>
    </row>
    <row r="683" spans="2:22">
      <c r="B683" s="416" t="s">
        <v>1887</v>
      </c>
      <c r="C683" s="313"/>
      <c r="D683" s="313"/>
      <c r="E683" s="313"/>
      <c r="F683" s="313"/>
      <c r="G683" s="313"/>
      <c r="H683" s="311" t="s">
        <v>1395</v>
      </c>
      <c r="I683" s="414">
        <v>41518</v>
      </c>
      <c r="J683" s="311">
        <v>2014</v>
      </c>
      <c r="K683" s="311">
        <v>2015</v>
      </c>
      <c r="L683" s="311">
        <v>2016</v>
      </c>
      <c r="M683" s="311">
        <v>2017</v>
      </c>
      <c r="N683" s="311">
        <v>2018</v>
      </c>
      <c r="P683" s="311" t="s">
        <v>1395</v>
      </c>
      <c r="Q683" s="414">
        <f t="shared" ref="Q683:V683" si="58">I683</f>
        <v>41518</v>
      </c>
      <c r="R683" s="311">
        <f t="shared" si="58"/>
        <v>2014</v>
      </c>
      <c r="S683" s="311">
        <f t="shared" si="58"/>
        <v>2015</v>
      </c>
      <c r="T683" s="311">
        <f t="shared" si="58"/>
        <v>2016</v>
      </c>
      <c r="U683" s="311">
        <f t="shared" si="58"/>
        <v>2017</v>
      </c>
      <c r="V683" s="311">
        <f t="shared" si="58"/>
        <v>2018</v>
      </c>
    </row>
    <row r="684" spans="2:22">
      <c r="B684" s="383" t="s">
        <v>1877</v>
      </c>
      <c r="C684" s="313"/>
      <c r="D684" s="313"/>
      <c r="E684" s="313"/>
      <c r="F684" s="313"/>
      <c r="G684" s="313"/>
      <c r="H684" s="313" t="s">
        <v>133</v>
      </c>
      <c r="I684" s="313">
        <v>820</v>
      </c>
      <c r="J684" s="313">
        <v>1700</v>
      </c>
      <c r="K684" s="313">
        <v>2400</v>
      </c>
      <c r="L684" s="378">
        <v>2750</v>
      </c>
      <c r="M684" s="313">
        <v>3659</v>
      </c>
      <c r="P684" s="313" t="s">
        <v>133</v>
      </c>
      <c r="Q684" s="313">
        <v>0</v>
      </c>
      <c r="R684" s="313">
        <v>900</v>
      </c>
      <c r="S684" s="313">
        <f>K684</f>
        <v>2400</v>
      </c>
      <c r="T684" s="313">
        <v>3000</v>
      </c>
      <c r="U684" s="313">
        <f>M684</f>
        <v>3659</v>
      </c>
    </row>
    <row r="685" spans="2:22">
      <c r="B685" s="313" t="s">
        <v>1878</v>
      </c>
      <c r="C685" s="313"/>
      <c r="D685" s="313"/>
      <c r="E685" s="313"/>
      <c r="F685" s="313"/>
      <c r="G685" s="313"/>
      <c r="H685" s="313" t="s">
        <v>936</v>
      </c>
      <c r="I685" s="413" t="s">
        <v>1882</v>
      </c>
      <c r="J685" s="413" t="s">
        <v>1882</v>
      </c>
      <c r="K685" s="313">
        <v>3500</v>
      </c>
      <c r="L685" s="313"/>
      <c r="P685" s="313" t="s">
        <v>936</v>
      </c>
      <c r="Q685" s="313"/>
      <c r="R685" s="313"/>
      <c r="S685" s="313">
        <v>700</v>
      </c>
      <c r="T685" s="313">
        <v>1854</v>
      </c>
    </row>
    <row r="686" spans="2:22">
      <c r="B686" s="313" t="s">
        <v>1750</v>
      </c>
      <c r="C686" s="313">
        <f>C688-900</f>
        <v>954</v>
      </c>
      <c r="D686" s="313"/>
      <c r="E686" s="313"/>
      <c r="F686" s="313"/>
      <c r="G686" s="313"/>
      <c r="H686" s="313" t="s">
        <v>134</v>
      </c>
      <c r="I686" s="413" t="s">
        <v>1883</v>
      </c>
      <c r="J686" s="413" t="s">
        <v>1883</v>
      </c>
      <c r="K686" s="313"/>
      <c r="L686" s="313"/>
      <c r="P686" s="313" t="s">
        <v>134</v>
      </c>
      <c r="Q686" s="313"/>
      <c r="R686" s="313"/>
      <c r="S686" s="313"/>
    </row>
    <row r="687" spans="2:22">
      <c r="B687" s="313" t="s">
        <v>1879</v>
      </c>
      <c r="C687" s="313"/>
      <c r="D687" s="313"/>
      <c r="E687" s="313"/>
      <c r="F687" s="313"/>
      <c r="G687" s="313"/>
      <c r="H687" s="313" t="s">
        <v>1186</v>
      </c>
      <c r="I687" s="313"/>
      <c r="J687" s="313"/>
      <c r="K687" s="313"/>
      <c r="L687" s="313">
        <v>2800</v>
      </c>
    </row>
    <row r="688" spans="2:22">
      <c r="B688" s="313" t="s">
        <v>1798</v>
      </c>
      <c r="C688" s="313">
        <v>1854</v>
      </c>
      <c r="D688" s="313"/>
      <c r="E688" s="313" t="s">
        <v>1880</v>
      </c>
      <c r="F688" s="313"/>
      <c r="G688" s="313"/>
      <c r="H688" s="313"/>
      <c r="I688" s="313"/>
      <c r="J688" s="313"/>
      <c r="K688" s="313"/>
    </row>
    <row r="689" spans="2:11">
      <c r="B689" s="313"/>
      <c r="C689" s="313"/>
      <c r="D689" s="313"/>
      <c r="E689" s="313"/>
      <c r="F689" s="313"/>
      <c r="G689" s="313"/>
      <c r="H689" s="313"/>
      <c r="I689" s="313"/>
      <c r="J689" s="313"/>
      <c r="K689" s="313"/>
    </row>
    <row r="690" spans="2:11">
      <c r="B690" s="412">
        <v>42826</v>
      </c>
      <c r="C690" s="313">
        <v>2229</v>
      </c>
      <c r="D690" s="313"/>
      <c r="E690" s="313"/>
      <c r="F690" s="313"/>
      <c r="G690" s="313"/>
      <c r="H690" s="313"/>
      <c r="I690" s="313"/>
      <c r="J690" s="313"/>
      <c r="K690" s="313"/>
    </row>
    <row r="691" spans="2:11">
      <c r="B691" s="412" t="s">
        <v>1875</v>
      </c>
      <c r="C691" s="313"/>
      <c r="D691" s="313"/>
      <c r="E691" s="313"/>
      <c r="F691" s="313"/>
      <c r="G691" s="313"/>
      <c r="H691" s="313"/>
      <c r="I691" s="313"/>
      <c r="J691" s="313"/>
      <c r="K691" s="313"/>
    </row>
    <row r="692" spans="2:11">
      <c r="B692" s="412" t="s">
        <v>1876</v>
      </c>
      <c r="C692" s="313"/>
      <c r="D692" s="313"/>
      <c r="E692" s="313"/>
      <c r="F692" s="313"/>
      <c r="G692" s="313"/>
      <c r="H692" s="313"/>
      <c r="I692" s="313"/>
      <c r="J692" s="313"/>
      <c r="K692" s="313"/>
    </row>
    <row r="693" spans="2:11">
      <c r="B693" s="412" t="s">
        <v>1874</v>
      </c>
      <c r="C693" s="313"/>
      <c r="D693" s="313"/>
      <c r="E693" s="313"/>
      <c r="F693" s="313"/>
      <c r="G693" s="313"/>
      <c r="H693" s="313"/>
      <c r="I693" s="313"/>
      <c r="J693" s="313"/>
      <c r="K693" s="313"/>
    </row>
    <row r="694" spans="2:11">
      <c r="B694" s="382"/>
      <c r="C694" s="313"/>
      <c r="D694" s="313"/>
      <c r="E694" s="313"/>
      <c r="F694" s="313"/>
      <c r="G694" s="313"/>
      <c r="H694" s="313"/>
      <c r="I694" s="313"/>
      <c r="J694" s="313"/>
      <c r="K694" s="313"/>
    </row>
    <row r="695" spans="2:11">
      <c r="B695" s="383" t="s">
        <v>1379</v>
      </c>
      <c r="C695" s="313"/>
      <c r="D695" s="313"/>
      <c r="E695" s="313"/>
      <c r="F695" s="313"/>
      <c r="G695" s="313"/>
      <c r="H695" s="313"/>
      <c r="I695" s="313"/>
      <c r="J695" s="313"/>
      <c r="K695" s="313"/>
    </row>
    <row r="696" spans="2:11">
      <c r="B696" s="313" t="s">
        <v>1382</v>
      </c>
      <c r="C696" s="313"/>
      <c r="D696" s="313"/>
      <c r="E696" s="313"/>
      <c r="F696" s="313"/>
      <c r="G696" s="313"/>
      <c r="H696" s="313"/>
      <c r="I696" s="313"/>
      <c r="J696" s="313"/>
      <c r="K696" s="313"/>
    </row>
    <row r="697" spans="2:11">
      <c r="B697" s="313" t="s">
        <v>1378</v>
      </c>
      <c r="C697" s="313"/>
      <c r="D697" s="313"/>
      <c r="E697" s="313"/>
      <c r="F697" s="313"/>
      <c r="G697" s="313"/>
      <c r="H697" s="313"/>
      <c r="I697" s="313"/>
      <c r="J697" s="313"/>
      <c r="K697" s="313"/>
    </row>
    <row r="698" spans="2:11">
      <c r="B698" s="313" t="s">
        <v>1381</v>
      </c>
      <c r="C698" s="313"/>
      <c r="D698" s="313"/>
      <c r="E698" s="313"/>
      <c r="F698" s="313"/>
      <c r="G698" s="313"/>
      <c r="H698" s="313"/>
      <c r="I698" s="313"/>
      <c r="J698" s="313"/>
      <c r="K698" s="313"/>
    </row>
    <row r="699" spans="2:11">
      <c r="B699" s="313" t="s">
        <v>1380</v>
      </c>
      <c r="C699" s="313"/>
      <c r="D699" s="313"/>
      <c r="E699" s="313"/>
      <c r="F699" s="313"/>
      <c r="G699" s="313"/>
      <c r="H699" s="313"/>
      <c r="I699" s="313"/>
      <c r="J699" s="313"/>
      <c r="K699" s="313"/>
    </row>
    <row r="700" spans="2:11">
      <c r="C700" s="2"/>
      <c r="D700" s="2"/>
      <c r="G700" s="2"/>
      <c r="H700" s="2"/>
    </row>
    <row r="702" spans="2:11">
      <c r="B702" s="306" t="s">
        <v>952</v>
      </c>
    </row>
    <row r="704" spans="2:11">
      <c r="B704" s="108" t="s">
        <v>955</v>
      </c>
      <c r="C704" s="108">
        <v>2013</v>
      </c>
      <c r="D704" s="108">
        <f>C704+1</f>
        <v>2014</v>
      </c>
      <c r="E704" s="108">
        <f>D704+1</f>
        <v>2015</v>
      </c>
      <c r="F704" s="108">
        <f>E704+1</f>
        <v>2016</v>
      </c>
      <c r="G704" s="108">
        <f>F704+1</f>
        <v>2017</v>
      </c>
    </row>
    <row r="705" spans="2:7">
      <c r="B705" t="s">
        <v>953</v>
      </c>
      <c r="C705">
        <f>C707</f>
        <v>65</v>
      </c>
      <c r="D705">
        <v>17.2</v>
      </c>
      <c r="E705">
        <v>14.7</v>
      </c>
      <c r="F705">
        <v>12.2</v>
      </c>
      <c r="G705">
        <v>9.6</v>
      </c>
    </row>
    <row r="706" spans="2:7">
      <c r="B706" t="s">
        <v>1096</v>
      </c>
      <c r="C706">
        <f>C705</f>
        <v>65</v>
      </c>
      <c r="D706">
        <f>D705+1</f>
        <v>18.2</v>
      </c>
      <c r="E706">
        <f>D706+1</f>
        <v>19.2</v>
      </c>
      <c r="F706">
        <f>E706+1</f>
        <v>20.2</v>
      </c>
      <c r="G706">
        <f>F706+1</f>
        <v>21.2</v>
      </c>
    </row>
    <row r="707" spans="2:7">
      <c r="B707" t="s">
        <v>954</v>
      </c>
      <c r="C707">
        <f>'Master old'!O88</f>
        <v>65</v>
      </c>
      <c r="D707">
        <f>'Master old'!P88</f>
        <v>21.183333333333334</v>
      </c>
      <c r="E707">
        <f>'Master old'!Q88</f>
        <v>14.908333333333331</v>
      </c>
      <c r="F707">
        <f>'Master old'!R88</f>
        <v>12.408333333333331</v>
      </c>
      <c r="G707">
        <f>'Master old'!S88</f>
        <v>9.8166666666666664</v>
      </c>
    </row>
    <row r="708" spans="2:7">
      <c r="E708" s="57">
        <f>E705/D705-1</f>
        <v>-0.14534883720930236</v>
      </c>
      <c r="F708" s="57">
        <f>F705/E705-1</f>
        <v>-0.17006802721088432</v>
      </c>
      <c r="G708" s="57">
        <f>G705/F705-1</f>
        <v>-0.21311475409836067</v>
      </c>
    </row>
    <row r="709" spans="2:7">
      <c r="C709">
        <f>C705/495</f>
        <v>0.13131313131313133</v>
      </c>
      <c r="D709">
        <f>D705/520</f>
        <v>3.3076923076923073E-2</v>
      </c>
      <c r="E709">
        <f>E705/520</f>
        <v>2.8269230769230769E-2</v>
      </c>
      <c r="F709">
        <f>F705/520</f>
        <v>2.3461538461538461E-2</v>
      </c>
      <c r="G709">
        <f>G705/520</f>
        <v>1.846153846153846E-2</v>
      </c>
    </row>
    <row r="711" spans="2:7">
      <c r="B711" t="s">
        <v>30</v>
      </c>
    </row>
    <row r="712" spans="2:7">
      <c r="B712" t="s">
        <v>1045</v>
      </c>
      <c r="C712">
        <v>407</v>
      </c>
    </row>
    <row r="713" spans="2:7">
      <c r="B713" t="s">
        <v>1375</v>
      </c>
      <c r="C713">
        <v>105</v>
      </c>
    </row>
    <row r="714" spans="2:7">
      <c r="B714" s="108" t="s">
        <v>1047</v>
      </c>
      <c r="C714" s="108">
        <v>150</v>
      </c>
    </row>
    <row r="715" spans="2:7">
      <c r="B715" t="s">
        <v>1046</v>
      </c>
      <c r="C715">
        <f>SUM(C712:C714)</f>
        <v>662</v>
      </c>
    </row>
    <row r="716" spans="2:7">
      <c r="B716" t="s">
        <v>1048</v>
      </c>
      <c r="C716" s="15">
        <f ca="1">Peru!N218</f>
        <v>875.94392153459694</v>
      </c>
    </row>
    <row r="717" spans="2:7">
      <c r="B717" t="s">
        <v>1050</v>
      </c>
      <c r="C717" s="15">
        <f ca="1">C715-C716</f>
        <v>-213.94392153459694</v>
      </c>
    </row>
    <row r="718" spans="2:7">
      <c r="B718" t="s">
        <v>1049</v>
      </c>
      <c r="C718">
        <f ca="1">C717*'Master old'!P52</f>
        <v>-122161.97919625485</v>
      </c>
    </row>
    <row r="719" spans="2:7">
      <c r="B719" t="s">
        <v>1051</v>
      </c>
      <c r="C719" s="15">
        <f ca="1">C718/SOP!F11</f>
        <v>-404.48694440786488</v>
      </c>
    </row>
    <row r="722" spans="2:9">
      <c r="B722" s="108"/>
      <c r="C722" s="108">
        <v>2013</v>
      </c>
      <c r="D722" s="108">
        <f>C722+1</f>
        <v>2014</v>
      </c>
      <c r="E722" s="108">
        <f>D722+1</f>
        <v>2015</v>
      </c>
      <c r="F722" s="108">
        <f>E722+1</f>
        <v>2016</v>
      </c>
      <c r="G722" s="108">
        <f>F722+1</f>
        <v>2017</v>
      </c>
      <c r="H722" s="108">
        <f>G722+1</f>
        <v>2018</v>
      </c>
      <c r="I722" t="s">
        <v>1057</v>
      </c>
    </row>
    <row r="723" spans="2:9">
      <c r="B723" t="s">
        <v>425</v>
      </c>
      <c r="C723" s="166">
        <f>'Master old'!O216</f>
        <v>1271726</v>
      </c>
      <c r="D723" s="166">
        <f>'Master old'!P216</f>
        <v>1150533</v>
      </c>
      <c r="E723" s="166">
        <f>'Master old'!Q216</f>
        <v>1150219</v>
      </c>
      <c r="F723" s="166">
        <f>'Master old'!R216</f>
        <v>1082156</v>
      </c>
      <c r="G723" s="166">
        <f>'Master old'!S216</f>
        <v>1050383</v>
      </c>
      <c r="H723" s="166">
        <f>'Master old'!T216</f>
        <v>1001679</v>
      </c>
      <c r="I723" s="162">
        <f>(H723/D723)^(1/4)-1</f>
        <v>-3.4043938024979736E-2</v>
      </c>
    </row>
    <row r="724" spans="2:9">
      <c r="B724" s="108" t="s">
        <v>146</v>
      </c>
      <c r="C724" s="268">
        <f>'Master old'!O217+'Master old'!O220</f>
        <v>304434</v>
      </c>
      <c r="D724" s="268">
        <f>'Master old'!P217+'Master old'!P220</f>
        <v>335767</v>
      </c>
      <c r="E724" s="268">
        <f>'Master old'!Q217+'Master old'!Q220</f>
        <v>378798</v>
      </c>
      <c r="F724" s="268">
        <f>'Master old'!R217+'Master old'!R220</f>
        <v>421501</v>
      </c>
      <c r="G724" s="268">
        <f>'Master old'!S217+'Master old'!S220</f>
        <v>420894</v>
      </c>
      <c r="H724" s="268">
        <f>'Master old'!T217+'Master old'!T220</f>
        <v>441032</v>
      </c>
      <c r="I724" s="162">
        <f>(H724/D724)^(1/4)-1</f>
        <v>7.0552630271641714E-2</v>
      </c>
    </row>
    <row r="725" spans="2:9">
      <c r="B725" t="s">
        <v>413</v>
      </c>
      <c r="C725" s="166">
        <f>'Master old'!O225</f>
        <v>1576160</v>
      </c>
      <c r="D725" s="166">
        <f>'Master old'!P225</f>
        <v>1486300</v>
      </c>
      <c r="E725" s="166">
        <f>'Master old'!Q225</f>
        <v>1529017</v>
      </c>
      <c r="F725" s="166">
        <f>'Master old'!R225</f>
        <v>1503657</v>
      </c>
      <c r="G725" s="166">
        <f>'Master old'!S225</f>
        <v>1471277</v>
      </c>
      <c r="H725" s="166">
        <f>'Master old'!T225</f>
        <v>1442711</v>
      </c>
      <c r="I725" s="162">
        <f>(H725/D725)^(1/4)-1</f>
        <v>-7.4138378205993449E-3</v>
      </c>
    </row>
    <row r="726" spans="2:9">
      <c r="B726" t="s">
        <v>612</v>
      </c>
      <c r="C726" s="162">
        <f>'Master old'!O226</f>
        <v>0.10936480531427528</v>
      </c>
      <c r="D726" s="162">
        <f>'Master old'!P226</f>
        <v>-5.7011978479342251E-2</v>
      </c>
      <c r="E726" s="162">
        <f>'Master old'!Q226</f>
        <v>2.8740496535019755E-2</v>
      </c>
      <c r="F726" s="162">
        <f>'Master old'!R226</f>
        <v>-1.6585819516722222E-2</v>
      </c>
      <c r="G726" s="162">
        <f>'Master old'!S226</f>
        <v>-2.1534166369058916E-2</v>
      </c>
      <c r="H726" s="162">
        <f>'Master old'!T226</f>
        <v>-1.9415786422271264E-2</v>
      </c>
    </row>
    <row r="727" spans="2:9">
      <c r="B727" t="s">
        <v>4</v>
      </c>
      <c r="C727" s="166">
        <f>'Master old'!O236</f>
        <v>468906</v>
      </c>
      <c r="D727" s="166">
        <f>'Master old'!P236</f>
        <v>469855</v>
      </c>
      <c r="E727" s="166">
        <f>'Master old'!Q236</f>
        <v>527654</v>
      </c>
      <c r="F727" s="166">
        <f>'Master old'!R236</f>
        <v>533011</v>
      </c>
      <c r="G727" s="166">
        <f>'Master old'!S236</f>
        <v>513223</v>
      </c>
      <c r="H727" s="166">
        <f>'Master old'!T236</f>
        <v>476886</v>
      </c>
      <c r="I727" s="162">
        <f>(H727/D727)^(1/4)-1</f>
        <v>3.7202359996830747E-3</v>
      </c>
    </row>
    <row r="728" spans="2:9">
      <c r="B728" t="s">
        <v>5</v>
      </c>
      <c r="C728" s="162">
        <f t="shared" ref="C728:H728" si="59">C727/C725</f>
        <v>0.297498984874632</v>
      </c>
      <c r="D728" s="162">
        <f t="shared" si="59"/>
        <v>0.31612393191145799</v>
      </c>
      <c r="E728" s="162">
        <f t="shared" si="59"/>
        <v>0.34509361243203968</v>
      </c>
      <c r="F728" s="162">
        <f t="shared" si="59"/>
        <v>0.35447645307407211</v>
      </c>
      <c r="G728" s="162">
        <f t="shared" si="59"/>
        <v>0.34882826279483742</v>
      </c>
      <c r="H728" s="162">
        <f t="shared" si="59"/>
        <v>0.33054852981643584</v>
      </c>
    </row>
    <row r="730" spans="2:9">
      <c r="B730" t="s">
        <v>137</v>
      </c>
      <c r="C730" s="166">
        <f>'Master old'!O257</f>
        <v>306226.4900375334</v>
      </c>
      <c r="D730" s="166">
        <f>'Master old'!P257</f>
        <v>345232.70603027975</v>
      </c>
      <c r="E730" s="166">
        <f>'Master old'!Q257</f>
        <v>268460.07995419623</v>
      </c>
      <c r="F730" s="166">
        <f>'Master old'!R257</f>
        <v>250524.43785774216</v>
      </c>
      <c r="G730" s="166">
        <f>'Master old'!S257</f>
        <v>277978.37758711522</v>
      </c>
      <c r="H730" s="166">
        <f ca="1">'Master old'!T257</f>
        <v>323821.05234111042</v>
      </c>
      <c r="I730" s="162">
        <f ca="1">(H730/D730)^(1/4)-1</f>
        <v>-1.5879481288874175E-2</v>
      </c>
    </row>
    <row r="731" spans="2:9">
      <c r="B731" t="s">
        <v>85</v>
      </c>
      <c r="C731" s="162">
        <f t="shared" ref="C731:H731" si="60">C730/C725</f>
        <v>0.19428642399092313</v>
      </c>
      <c r="D731" s="162">
        <f t="shared" si="60"/>
        <v>0.23227659693889507</v>
      </c>
      <c r="E731" s="162">
        <f t="shared" si="60"/>
        <v>0.17557690984089533</v>
      </c>
      <c r="F731" s="162">
        <f t="shared" si="60"/>
        <v>0.16661009648991901</v>
      </c>
      <c r="G731" s="162">
        <f t="shared" si="60"/>
        <v>0.1889368063166319</v>
      </c>
      <c r="H731" s="162">
        <f t="shared" ca="1" si="60"/>
        <v>0.22445316653238967</v>
      </c>
    </row>
    <row r="732" spans="2:9">
      <c r="B732" t="s">
        <v>177</v>
      </c>
      <c r="C732" s="166">
        <f t="shared" ref="C732:H732" si="61">C727-C730</f>
        <v>162679.5099624666</v>
      </c>
      <c r="D732" s="166">
        <f t="shared" si="61"/>
        <v>124622.29396972025</v>
      </c>
      <c r="E732" s="166">
        <f t="shared" si="61"/>
        <v>259193.92004580377</v>
      </c>
      <c r="F732" s="166">
        <f t="shared" si="61"/>
        <v>282486.56214225781</v>
      </c>
      <c r="G732" s="166">
        <f t="shared" si="61"/>
        <v>235244.62241288478</v>
      </c>
      <c r="H732" s="166">
        <f t="shared" ca="1" si="61"/>
        <v>153064.94765888958</v>
      </c>
      <c r="I732" s="162">
        <f ca="1">(H732/D732)^(1/4)-1</f>
        <v>5.2737277308675834E-2</v>
      </c>
    </row>
    <row r="733" spans="2:9">
      <c r="B733" t="s">
        <v>5</v>
      </c>
      <c r="C733" s="162">
        <f t="shared" ref="C733:H733" si="62">C732/C725</f>
        <v>0.10321256088370889</v>
      </c>
      <c r="D733" s="162">
        <f t="shared" si="62"/>
        <v>8.3847334972562915E-2</v>
      </c>
      <c r="E733" s="162">
        <f t="shared" si="62"/>
        <v>0.16951670259114435</v>
      </c>
      <c r="F733" s="162">
        <f t="shared" si="62"/>
        <v>0.18786635658415304</v>
      </c>
      <c r="G733" s="162">
        <f t="shared" si="62"/>
        <v>0.15989145647820552</v>
      </c>
      <c r="H733" s="162">
        <f t="shared" ca="1" si="62"/>
        <v>0.1060953632840462</v>
      </c>
      <c r="I733" s="162"/>
    </row>
    <row r="735" spans="2:9">
      <c r="B735" s="306" t="s">
        <v>30</v>
      </c>
    </row>
    <row r="737" spans="2:16">
      <c r="B737" s="108" t="s">
        <v>1058</v>
      </c>
      <c r="C737" s="108">
        <f>Peru!L2</f>
        <v>2010</v>
      </c>
      <c r="D737" s="108">
        <f>Peru!M2</f>
        <v>2011</v>
      </c>
      <c r="E737" s="108">
        <f>Peru!N2</f>
        <v>2012</v>
      </c>
      <c r="F737" s="108">
        <f>Peru!O2</f>
        <v>2013</v>
      </c>
      <c r="G737" s="108">
        <f>Peru!P2</f>
        <v>2014</v>
      </c>
      <c r="H737" s="108">
        <f>Peru!Q2</f>
        <v>2015</v>
      </c>
      <c r="I737" s="108">
        <f>Peru!R2</f>
        <v>2016</v>
      </c>
      <c r="J737" s="108">
        <f>Peru!S2</f>
        <v>2017</v>
      </c>
      <c r="K737" s="108"/>
      <c r="L737" s="108">
        <f>Peru!T2</f>
        <v>2018</v>
      </c>
      <c r="M737" s="108">
        <f>Peru!U2</f>
        <v>2019</v>
      </c>
      <c r="N737" s="108">
        <f>Peru!V2</f>
        <v>2020</v>
      </c>
    </row>
    <row r="738" spans="2:16">
      <c r="B738" t="str">
        <f>Peru!B4</f>
        <v>Revenues</v>
      </c>
      <c r="C738" s="166">
        <f>Peru!L4</f>
        <v>881.34491494318183</v>
      </c>
      <c r="D738" s="166">
        <f>Peru!M4</f>
        <v>973.77500000000009</v>
      </c>
      <c r="E738" s="166">
        <f>Peru!N4</f>
        <v>906.31200000000013</v>
      </c>
      <c r="F738" s="166">
        <f>Peru!O4</f>
        <v>802.52059807173998</v>
      </c>
      <c r="G738" s="166">
        <f>Peru!P4</f>
        <v>757.51404553415057</v>
      </c>
      <c r="H738" s="166">
        <f>Peru!Q4</f>
        <v>1153.0029223744293</v>
      </c>
      <c r="I738" s="166">
        <f>Peru!R4</f>
        <v>1736.3177218934911</v>
      </c>
      <c r="J738" s="166">
        <f>Peru!S4</f>
        <v>2311.5559938366719</v>
      </c>
      <c r="K738" s="166"/>
      <c r="L738" s="166">
        <f>Peru!T4</f>
        <v>2423.6179595015574</v>
      </c>
      <c r="M738" s="166">
        <f ca="1">Peru!U4</f>
        <v>2706.3682007596153</v>
      </c>
      <c r="N738" s="166">
        <f ca="1">Peru!V4</f>
        <v>2960.404803190404</v>
      </c>
    </row>
    <row r="739" spans="2:16">
      <c r="B739" t="str">
        <f>Peru!B5</f>
        <v>% change</v>
      </c>
      <c r="C739" s="57">
        <f>Peru!L5</f>
        <v>9.2558282024076233E-2</v>
      </c>
      <c r="D739" s="57">
        <f>Peru!M5</f>
        <v>0.10487390746763081</v>
      </c>
      <c r="E739" s="57">
        <f>Peru!N5</f>
        <v>-6.9279864445071948E-2</v>
      </c>
      <c r="F739" s="57">
        <f>Peru!O5</f>
        <v>-0.11452060871781478</v>
      </c>
      <c r="G739" s="57">
        <f>Peru!P5</f>
        <v>-5.6081492046097137E-2</v>
      </c>
      <c r="H739" s="57">
        <f>Peru!Q5</f>
        <v>0.52208784665029584</v>
      </c>
      <c r="I739" s="57">
        <f>Peru!R5</f>
        <v>0.505909211676425</v>
      </c>
      <c r="J739" s="57">
        <f>Peru!S5</f>
        <v>0.33129781761132482</v>
      </c>
      <c r="K739" s="57"/>
      <c r="L739" s="57">
        <f>Peru!T5</f>
        <v>4.847901844630953E-2</v>
      </c>
      <c r="M739" s="57">
        <f ca="1">Peru!U5</f>
        <v>0.11666452633327107</v>
      </c>
      <c r="N739" s="57">
        <f ca="1">Peru!V5</f>
        <v>9.3866238289190163E-2</v>
      </c>
    </row>
    <row r="740" spans="2:16">
      <c r="C740" s="166"/>
      <c r="D740" s="166"/>
      <c r="E740" s="166"/>
      <c r="F740" s="166"/>
      <c r="G740" s="166"/>
      <c r="H740" s="166"/>
      <c r="I740" s="166"/>
      <c r="J740" s="166"/>
      <c r="K740" s="166"/>
      <c r="L740" s="166"/>
      <c r="M740" s="166"/>
      <c r="N740" s="166"/>
    </row>
    <row r="741" spans="2:16">
      <c r="B741" t="str">
        <f>Peru!B7</f>
        <v>EBITDA</v>
      </c>
      <c r="C741" s="166">
        <f>Peru!L7</f>
        <v>62.428598141808713</v>
      </c>
      <c r="D741" s="166">
        <f>Peru!M7</f>
        <v>97.075000000000017</v>
      </c>
      <c r="E741" s="166">
        <f>Peru!N7</f>
        <v>-38.544000000000004</v>
      </c>
      <c r="F741" s="166">
        <f>Peru!O7</f>
        <v>-86.008295397542838</v>
      </c>
      <c r="G741" s="166">
        <f>Peru!P7</f>
        <v>-544.72294220665492</v>
      </c>
      <c r="H741" s="166">
        <f>Peru!Q7</f>
        <v>-820.84963470319633</v>
      </c>
      <c r="I741" s="166">
        <f>Peru!R7</f>
        <v>-605.64782544378693</v>
      </c>
      <c r="J741" s="166">
        <f>Peru!S7</f>
        <v>-381.74650231124809</v>
      </c>
      <c r="K741" s="166"/>
      <c r="L741" s="166">
        <f>Peru!T7</f>
        <v>-272.48579439252336</v>
      </c>
      <c r="M741" s="166">
        <f ca="1">Peru!U7</f>
        <v>0.95628803976637755</v>
      </c>
      <c r="N741" s="166">
        <f ca="1">Peru!V7</f>
        <v>187.25446889847444</v>
      </c>
    </row>
    <row r="742" spans="2:16">
      <c r="B742" t="str">
        <f>Peru!B8</f>
        <v>% change</v>
      </c>
      <c r="C742" s="57">
        <f>Peru!L8</f>
        <v>0.22002341492688537</v>
      </c>
      <c r="D742" s="57">
        <f>Peru!M8</f>
        <v>0.55497645132909779</v>
      </c>
      <c r="E742" s="57">
        <f>Peru!N8</f>
        <v>-1.3970538243626063</v>
      </c>
      <c r="F742" s="57">
        <f>Peru!O8</f>
        <v>1.2314314912189404</v>
      </c>
      <c r="G742" s="57">
        <f>Peru!P8</f>
        <v>5.3333767945157655</v>
      </c>
      <c r="H742" s="57">
        <f>Peru!Q8</f>
        <v>0.50691217700132318</v>
      </c>
      <c r="I742" s="57">
        <f>Peru!R8</f>
        <v>-0.26216958643981403</v>
      </c>
      <c r="J742" s="57">
        <f>Peru!S8</f>
        <v>-0.3696889738991066</v>
      </c>
      <c r="K742" s="57"/>
      <c r="L742" s="57">
        <f>Peru!T8</f>
        <v>-0.28621272822990151</v>
      </c>
      <c r="M742" s="57">
        <f ca="1">Peru!U8</f>
        <v>-1.003509496859821</v>
      </c>
      <c r="N742" s="57">
        <f ca="1">Peru!V8</f>
        <v>194.81387731694412</v>
      </c>
    </row>
    <row r="743" spans="2:16">
      <c r="B743" t="str">
        <f>Peru!B9</f>
        <v>EBITDA margin</v>
      </c>
      <c r="C743" s="162">
        <f>Peru!L9</f>
        <v>7.0833333333333331E-2</v>
      </c>
      <c r="D743" s="162">
        <f>Peru!M9</f>
        <v>9.9689353290031077E-2</v>
      </c>
      <c r="E743" s="162">
        <f>Peru!N9</f>
        <v>-4.2528400815613168E-2</v>
      </c>
      <c r="F743" s="162">
        <f>Peru!O9</f>
        <v>-0.10717269513604967</v>
      </c>
      <c r="G743" s="162">
        <f>Peru!P9</f>
        <v>-0.71909286094167546</v>
      </c>
      <c r="H743" s="162">
        <f>Peru!Q9</f>
        <v>-0.71192329071706495</v>
      </c>
      <c r="I743" s="162">
        <f>Peru!R9</f>
        <v>-0.34881163614647392</v>
      </c>
      <c r="J743" s="162">
        <f>Peru!S9</f>
        <v>-0.16514698468438713</v>
      </c>
      <c r="K743" s="162"/>
      <c r="L743" s="162">
        <f>Peru!T9</f>
        <v>-0.11242935105521455</v>
      </c>
      <c r="M743" s="162">
        <f ca="1">Peru!U9</f>
        <v>3.5334735292040807E-4</v>
      </c>
      <c r="N743" s="162">
        <f ca="1">Peru!V9</f>
        <v>6.3252994555566128E-2</v>
      </c>
    </row>
    <row r="744" spans="2:16">
      <c r="B744" t="s">
        <v>1199</v>
      </c>
      <c r="C744" s="162"/>
      <c r="D744" s="162"/>
      <c r="E744" s="162"/>
      <c r="F744" s="162"/>
      <c r="G744" s="162" t="s">
        <v>1201</v>
      </c>
      <c r="H744" s="162"/>
      <c r="I744" s="162"/>
      <c r="J744" s="162"/>
      <c r="K744" s="162"/>
      <c r="L744" s="162"/>
      <c r="M744" s="162"/>
      <c r="N744" s="162"/>
      <c r="P744" s="162" t="s">
        <v>1200</v>
      </c>
    </row>
    <row r="745" spans="2:16">
      <c r="C745" s="166"/>
      <c r="D745" s="166"/>
      <c r="E745" s="166"/>
      <c r="F745" s="166"/>
      <c r="G745" s="166"/>
      <c r="H745" s="166"/>
      <c r="I745" s="166"/>
      <c r="J745" s="166"/>
      <c r="K745" s="166"/>
      <c r="L745" s="166"/>
      <c r="M745" s="166"/>
      <c r="N745" s="166"/>
    </row>
    <row r="746" spans="2:16">
      <c r="B746" t="str">
        <f>Peru!B11</f>
        <v>Capex</v>
      </c>
      <c r="C746" s="166">
        <f>Peru!L11</f>
        <v>265.53340386108681</v>
      </c>
      <c r="D746" s="166">
        <f>Peru!M11</f>
        <v>290.125</v>
      </c>
      <c r="E746" s="166">
        <f>Peru!N11</f>
        <v>205.12800000000001</v>
      </c>
      <c r="F746" s="166">
        <f>Peru!O11</f>
        <v>451.28160000000008</v>
      </c>
      <c r="G746" s="166">
        <f>Peru!P11</f>
        <v>795.19999999999993</v>
      </c>
      <c r="H746" s="166">
        <f>Peru!Q11</f>
        <v>765.6</v>
      </c>
      <c r="I746" s="166">
        <f>Peru!R11</f>
        <v>522.35</v>
      </c>
      <c r="J746" s="166">
        <f>Peru!S11</f>
        <v>521.59999999999991</v>
      </c>
      <c r="K746" s="166"/>
      <c r="L746" s="166">
        <f>Peru!T11</f>
        <v>532.03199999999993</v>
      </c>
      <c r="M746" s="166">
        <f>Peru!U11</f>
        <v>532.03199999999993</v>
      </c>
      <c r="N746" s="166">
        <f>Peru!V11</f>
        <v>532.03199999999993</v>
      </c>
    </row>
    <row r="747" spans="2:16">
      <c r="B747" t="str">
        <f>Peru!B12</f>
        <v>% change</v>
      </c>
      <c r="C747" s="57">
        <f>Peru!L12</f>
        <v>-0.40594560474940578</v>
      </c>
      <c r="D747" s="57">
        <f>Peru!M12</f>
        <v>9.2612062291711705E-2</v>
      </c>
      <c r="E747" s="57">
        <f>Peru!N12</f>
        <v>-0.29296682464454971</v>
      </c>
      <c r="F747" s="57">
        <f>Peru!O12</f>
        <v>1.2000000000000002</v>
      </c>
      <c r="G747" s="57">
        <f>Peru!P12</f>
        <v>0.76209267118357982</v>
      </c>
      <c r="H747" s="57">
        <f>Peru!Q12</f>
        <v>-3.7223340040241304E-2</v>
      </c>
      <c r="I747" s="57">
        <f>Peru!R12</f>
        <v>-0.31772466039707414</v>
      </c>
      <c r="J747" s="57">
        <f>Peru!S12</f>
        <v>-1.4358188953769169E-3</v>
      </c>
      <c r="K747" s="57"/>
      <c r="L747" s="57">
        <f>Peru!T12</f>
        <v>2.0000000000000018E-2</v>
      </c>
      <c r="M747" s="57">
        <f>Peru!U12</f>
        <v>0</v>
      </c>
      <c r="N747" s="57">
        <f>Peru!V12</f>
        <v>0</v>
      </c>
    </row>
    <row r="748" spans="2:16">
      <c r="B748" t="str">
        <f>Peru!B13</f>
        <v>% of sales</v>
      </c>
      <c r="C748" s="57">
        <f>Peru!L13</f>
        <v>0.30128205128205127</v>
      </c>
      <c r="D748" s="57">
        <f>Peru!M13</f>
        <v>0.29793843547020615</v>
      </c>
      <c r="E748" s="57">
        <f>Peru!N13</f>
        <v>0.22633265365569472</v>
      </c>
      <c r="F748" s="57">
        <f>Peru!O13</f>
        <v>0.56233023935375492</v>
      </c>
      <c r="G748" s="57">
        <f>Peru!P13</f>
        <v>1.0497495124849805</v>
      </c>
      <c r="H748" s="57">
        <f>Peru!Q13</f>
        <v>0.66400525544494415</v>
      </c>
      <c r="I748" s="57">
        <f>Peru!R13</f>
        <v>0.3008377979523047</v>
      </c>
      <c r="J748" s="57">
        <f>Peru!S13</f>
        <v>0.22564887088642799</v>
      </c>
      <c r="K748" s="57"/>
      <c r="L748" s="57">
        <f>Peru!T13</f>
        <v>0.21951974646590666</v>
      </c>
      <c r="M748" s="57">
        <f ca="1">Peru!U13</f>
        <v>0.19658522437954701</v>
      </c>
      <c r="N748" s="57">
        <f ca="1">Peru!V13</f>
        <v>0.1797159629746018</v>
      </c>
    </row>
    <row r="749" spans="2:16"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</row>
    <row r="750" spans="2:16">
      <c r="B750" t="s">
        <v>1202</v>
      </c>
      <c r="C750" s="57"/>
      <c r="D750" s="57"/>
      <c r="E750" s="57"/>
      <c r="F750" s="166">
        <f>Peru!O39</f>
        <v>167.14133333333336</v>
      </c>
      <c r="G750" s="166">
        <f>Peru!P39</f>
        <v>280</v>
      </c>
      <c r="H750" s="166">
        <f>Peru!Q39</f>
        <v>240</v>
      </c>
      <c r="I750" s="166">
        <f>Peru!R39</f>
        <v>155</v>
      </c>
      <c r="J750" s="166">
        <f>Peru!S39</f>
        <v>159.99999999999997</v>
      </c>
      <c r="K750" s="166"/>
      <c r="L750" s="166">
        <f>Peru!T39</f>
        <v>161.71185410334343</v>
      </c>
      <c r="M750" s="166">
        <f>Peru!U39</f>
        <v>159.29101796407184</v>
      </c>
      <c r="N750" s="166">
        <f>Peru!V39</f>
        <v>158.34285714285713</v>
      </c>
    </row>
    <row r="751" spans="2:16">
      <c r="B751" t="s">
        <v>1203</v>
      </c>
      <c r="C751" s="57"/>
      <c r="D751" s="57"/>
      <c r="E751" s="57"/>
      <c r="F751" s="166"/>
      <c r="G751" s="369" t="s">
        <v>1197</v>
      </c>
      <c r="H751" s="369" t="s">
        <v>1198</v>
      </c>
      <c r="I751" s="369" t="s">
        <v>1198</v>
      </c>
      <c r="J751" s="166"/>
      <c r="K751" s="166"/>
      <c r="L751" s="166"/>
      <c r="M751" s="166"/>
      <c r="N751" s="166"/>
    </row>
    <row r="752" spans="2:16">
      <c r="C752" s="166"/>
      <c r="D752" s="166"/>
      <c r="E752" s="166"/>
      <c r="F752" s="166"/>
      <c r="G752" s="166"/>
      <c r="H752" s="166"/>
      <c r="I752" s="166"/>
      <c r="J752" s="166"/>
      <c r="K752" s="166"/>
      <c r="L752" s="166"/>
      <c r="M752" s="166"/>
      <c r="N752" s="166"/>
    </row>
    <row r="753" spans="2:14">
      <c r="B753" t="str">
        <f>Peru!B15</f>
        <v>OpFCF</v>
      </c>
      <c r="C753" s="166">
        <f>Peru!L15</f>
        <v>-203.10480571927809</v>
      </c>
      <c r="D753" s="166">
        <f>Peru!M15</f>
        <v>-193.04999999999998</v>
      </c>
      <c r="E753" s="166">
        <f>Peru!N15</f>
        <v>-243.67200000000003</v>
      </c>
      <c r="F753" s="166">
        <f>Peru!O15</f>
        <v>-537.28989539754298</v>
      </c>
      <c r="G753" s="166">
        <f>Peru!P15</f>
        <v>-1339.9229422066549</v>
      </c>
      <c r="H753" s="166">
        <f>Peru!Q15</f>
        <v>-1586.4496347031964</v>
      </c>
      <c r="I753" s="166">
        <f>Peru!R15</f>
        <v>-1127.997825443787</v>
      </c>
      <c r="J753" s="166">
        <f>Peru!S15</f>
        <v>-903.34650231124806</v>
      </c>
      <c r="K753" s="166"/>
      <c r="L753" s="166">
        <f>Peru!T15</f>
        <v>-804.51779439252323</v>
      </c>
      <c r="M753" s="166">
        <f ca="1">Peru!U15</f>
        <v>-531.07571196023355</v>
      </c>
      <c r="N753" s="166">
        <f ca="1">Peru!V15</f>
        <v>-344.77753110152548</v>
      </c>
    </row>
    <row r="754" spans="2:14">
      <c r="B754" t="str">
        <f>Peru!B16</f>
        <v>% change</v>
      </c>
      <c r="C754" s="57">
        <f>Peru!L16</f>
        <v>-0.48686935634253847</v>
      </c>
      <c r="D754" s="57">
        <f>Peru!M16</f>
        <v>-4.9505503740642109E-2</v>
      </c>
      <c r="E754" s="57">
        <f>Peru!N16</f>
        <v>0.26222222222222236</v>
      </c>
      <c r="F754" s="57">
        <f>Peru!O16</f>
        <v>1.2049718285135054</v>
      </c>
      <c r="G754" s="57">
        <f>Peru!P16</f>
        <v>1.4938547210444755</v>
      </c>
      <c r="H754" s="57">
        <f>Peru!Q16</f>
        <v>0.18398572390330781</v>
      </c>
      <c r="I754" s="57">
        <f>Peru!R16</f>
        <v>-0.28897974397099579</v>
      </c>
      <c r="J754" s="57">
        <f>Peru!S16</f>
        <v>-0.19915935834730403</v>
      </c>
      <c r="K754" s="57"/>
      <c r="L754" s="57">
        <f>Peru!T16</f>
        <v>-0.10940287881324351</v>
      </c>
      <c r="M754" s="57">
        <f ca="1">Peru!U16</f>
        <v>-0.33988320002140016</v>
      </c>
      <c r="N754" s="57">
        <f ca="1">Peru!V16</f>
        <v>-0.35079401423023071</v>
      </c>
    </row>
    <row r="755" spans="2:14">
      <c r="B755" t="str">
        <f>Peru!B17</f>
        <v>% of sales</v>
      </c>
      <c r="C755" s="57">
        <f>Peru!L17</f>
        <v>-0.23044871794871791</v>
      </c>
      <c r="D755" s="57">
        <f>Peru!M17</f>
        <v>-0.19824908218017506</v>
      </c>
      <c r="E755" s="57">
        <f>Peru!N17</f>
        <v>-0.26886105447130787</v>
      </c>
      <c r="F755" s="57">
        <f>Peru!O17</f>
        <v>-0.66950293448980469</v>
      </c>
      <c r="G755" s="57">
        <f>Peru!P17</f>
        <v>-1.7688423734266561</v>
      </c>
      <c r="H755" s="57">
        <f>Peru!Q17</f>
        <v>-1.375928546162009</v>
      </c>
      <c r="I755" s="57">
        <f>Peru!R17</f>
        <v>-0.64964943409877862</v>
      </c>
      <c r="J755" s="57">
        <f>Peru!S17</f>
        <v>-0.39079585557081514</v>
      </c>
      <c r="K755" s="57"/>
      <c r="L755" s="57">
        <f>Peru!T17</f>
        <v>-0.33194909752112117</v>
      </c>
      <c r="M755" s="57">
        <f ca="1">Peru!U17</f>
        <v>-0.19623187702662662</v>
      </c>
      <c r="N755" s="57">
        <f ca="1">Peru!V17</f>
        <v>-0.11646296841903565</v>
      </c>
    </row>
    <row r="757" spans="2:14">
      <c r="B757" s="306" t="s">
        <v>1082</v>
      </c>
    </row>
    <row r="760" spans="2:14">
      <c r="B760" s="108" t="str">
        <f>Interims!B99</f>
        <v>CHILEAN FIXED</v>
      </c>
      <c r="C760" s="141" t="str">
        <f>Interims!CH3</f>
        <v>Q1 12</v>
      </c>
      <c r="D760" s="141" t="str">
        <f>Interims!CI3</f>
        <v>Q2 12</v>
      </c>
      <c r="E760" s="141" t="str">
        <f>Interims!CJ3</f>
        <v>Q3 12</v>
      </c>
      <c r="F760" s="141" t="str">
        <f>Interims!CK3</f>
        <v>Q4 12</v>
      </c>
      <c r="G760" s="141" t="str">
        <f>Interims!CL3</f>
        <v>Q1 13</v>
      </c>
      <c r="H760" s="141" t="str">
        <f>Interims!CM3</f>
        <v>Q2 13</v>
      </c>
      <c r="I760" s="141" t="str">
        <f>Interims!CN3</f>
        <v>Q3 13</v>
      </c>
      <c r="J760" s="141" t="str">
        <f>Interims!CO3</f>
        <v>Q4 13</v>
      </c>
      <c r="K760" s="141"/>
      <c r="L760" s="141" t="str">
        <f>Interims!CP3</f>
        <v>Q1 14</v>
      </c>
    </row>
    <row r="761" spans="2:14">
      <c r="B761" t="str">
        <f>Interims!B100</f>
        <v>Data service, inc IT</v>
      </c>
      <c r="C761" s="162">
        <f>Interims!CH100</f>
        <v>9.1537053979871885E-2</v>
      </c>
      <c r="D761" s="162">
        <f>Interims!CI100</f>
        <v>0.12765589911901887</v>
      </c>
      <c r="E761" s="162">
        <f>Interims!CJ100</f>
        <v>9.9383634431455814E-2</v>
      </c>
      <c r="F761" s="162">
        <f>Interims!CK100</f>
        <v>0.17350872312522347</v>
      </c>
      <c r="G761" s="162">
        <f>Interims!CL100</f>
        <v>0.11114370730480694</v>
      </c>
      <c r="H761" s="162">
        <f>Interims!CM100</f>
        <v>9.3022365196078427E-2</v>
      </c>
      <c r="I761" s="162">
        <f>Interims!CN100</f>
        <v>0.1335498588717472</v>
      </c>
      <c r="J761" s="162">
        <f>Interims!CO100</f>
        <v>0.22906295506112628</v>
      </c>
      <c r="K761" s="162"/>
      <c r="L761" s="162">
        <f>Interims!CP100</f>
        <v>0.28310640063365144</v>
      </c>
    </row>
    <row r="762" spans="2:14">
      <c r="B762" t="str">
        <f>Interims!B101</f>
        <v>Local telephony</v>
      </c>
      <c r="C762" s="162">
        <f>Interims!CH101</f>
        <v>-1.1342734518700159E-2</v>
      </c>
      <c r="D762" s="162">
        <f>Interims!CI101</f>
        <v>-3.253552729992526E-2</v>
      </c>
      <c r="E762" s="162">
        <f>Interims!CJ101</f>
        <v>1.7376625955714431E-2</v>
      </c>
      <c r="F762" s="162">
        <f>Interims!CK101</f>
        <v>4.3041606886657924E-3</v>
      </c>
      <c r="G762" s="162">
        <f>Interims!CL101</f>
        <v>0.15080103359173136</v>
      </c>
      <c r="H762" s="162">
        <f>Interims!CM101</f>
        <v>1.9327406262079627E-3</v>
      </c>
      <c r="I762" s="162">
        <f>Interims!CN101</f>
        <v>-9.5647081788015065E-3</v>
      </c>
      <c r="J762" s="162">
        <f>Interims!CO101</f>
        <v>2.7678571428571441E-2</v>
      </c>
      <c r="K762" s="162"/>
      <c r="L762" s="162">
        <f>Interims!CP101</f>
        <v>1.0238907849829282E-2</v>
      </c>
    </row>
    <row r="763" spans="2:14">
      <c r="B763" t="str">
        <f>Interims!B102</f>
        <v>Long distance</v>
      </c>
      <c r="C763" s="162">
        <f>Interims!CH102</f>
        <v>-5.1231867372783735E-2</v>
      </c>
      <c r="D763" s="162">
        <f>Interims!CI102</f>
        <v>6.3672922252010711E-2</v>
      </c>
      <c r="E763" s="162">
        <f>Interims!CJ102</f>
        <v>0.12511809960858411</v>
      </c>
      <c r="F763" s="162">
        <f>Interims!CK102</f>
        <v>0.16246145220072883</v>
      </c>
      <c r="G763" s="162">
        <f>Interims!CL102</f>
        <v>0.15883994660842138</v>
      </c>
      <c r="H763" s="162">
        <f>Interims!CM102</f>
        <v>3.8941398865784516E-2</v>
      </c>
      <c r="I763" s="162">
        <f>Interims!CN102</f>
        <v>-8.5292706333973123E-2</v>
      </c>
      <c r="J763" s="162">
        <f>Interims!CO102</f>
        <v>-0.20318340769323529</v>
      </c>
      <c r="K763" s="162"/>
      <c r="L763" s="162">
        <f>Interims!CP102</f>
        <v>-0.14848167539267021</v>
      </c>
    </row>
    <row r="764" spans="2:14">
      <c r="B764" t="str">
        <f>Interims!B103</f>
        <v>Internet</v>
      </c>
      <c r="C764" s="162">
        <f>Interims!CH103</f>
        <v>7.5702075702075433E-3</v>
      </c>
      <c r="D764" s="162">
        <f>Interims!CI103</f>
        <v>1.4071070832339716E-2</v>
      </c>
      <c r="E764" s="162">
        <f>Interims!CJ103</f>
        <v>1.6283524904214586E-2</v>
      </c>
      <c r="F764" s="162">
        <f>Interims!CK103</f>
        <v>0.11526328561028887</v>
      </c>
      <c r="G764" s="162">
        <f>Interims!CL103</f>
        <v>8.3616093068347164E-2</v>
      </c>
      <c r="H764" s="162">
        <f>Interims!CM103</f>
        <v>8.5606773283160909E-2</v>
      </c>
      <c r="I764" s="162">
        <f>Interims!CN103</f>
        <v>0.27144203581526871</v>
      </c>
      <c r="J764" s="162">
        <f>Interims!CO103</f>
        <v>0.33659704090513487</v>
      </c>
      <c r="K764" s="162"/>
      <c r="L764" s="162">
        <f>Interims!CP103</f>
        <v>0.40572578841422491</v>
      </c>
    </row>
    <row r="765" spans="2:14">
      <c r="B765" t="str">
        <f>Interims!B104</f>
        <v>TV (DTH)</v>
      </c>
      <c r="C765" s="162"/>
      <c r="D765" s="162"/>
      <c r="E765" s="162"/>
      <c r="F765" s="162"/>
      <c r="G765" s="162"/>
      <c r="H765" s="162"/>
      <c r="I765" s="162"/>
      <c r="J765" s="162"/>
      <c r="K765" s="162"/>
      <c r="L765" s="162">
        <f>Interims!CP104</f>
        <v>4.955521472392638</v>
      </c>
    </row>
    <row r="766" spans="2:14">
      <c r="B766" s="108" t="str">
        <f>Interims!B105</f>
        <v>Other</v>
      </c>
      <c r="C766" s="309">
        <f>Interims!CH105</f>
        <v>0.12793733681462149</v>
      </c>
      <c r="D766" s="309">
        <f>Interims!CI105</f>
        <v>0.33512605042016808</v>
      </c>
      <c r="E766" s="309">
        <f>Interims!CJ105</f>
        <v>0.1988558352402745</v>
      </c>
      <c r="F766" s="309">
        <f>Interims!CK105</f>
        <v>-0.10192563081009298</v>
      </c>
      <c r="G766" s="309">
        <f>Interims!CL105</f>
        <v>-6.6009557945041819E-2</v>
      </c>
      <c r="H766" s="309">
        <f>Interims!CM105</f>
        <v>-0.43410120845921452</v>
      </c>
      <c r="I766" s="309">
        <f>Interims!CN105</f>
        <v>-0.18610421836228286</v>
      </c>
      <c r="J766" s="309">
        <f>Interims!CO105</f>
        <v>-8.4288354898336415E-3</v>
      </c>
      <c r="K766" s="309"/>
      <c r="L766" s="309">
        <f>Interims!CP105</f>
        <v>-7.419251678925487E-2</v>
      </c>
    </row>
    <row r="767" spans="2:14">
      <c r="B767" t="str">
        <f>Interims!B106</f>
        <v>Chile wireline net</v>
      </c>
      <c r="C767" s="162">
        <f>Interims!CH106</f>
        <v>5.319715808170522E-2</v>
      </c>
      <c r="D767" s="162">
        <f>Interims!CI106</f>
        <v>0.12420520860552209</v>
      </c>
      <c r="E767" s="162">
        <f>Interims!CJ106</f>
        <v>0.10490470226964721</v>
      </c>
      <c r="F767" s="162">
        <f>Interims!CK106</f>
        <v>7.2058119112246466E-2</v>
      </c>
      <c r="G767" s="162">
        <f>Interims!CL106</f>
        <v>9.3313095539252933E-2</v>
      </c>
      <c r="H767" s="162">
        <f>Interims!CM106</f>
        <v>-3.8754164406910929E-2</v>
      </c>
      <c r="I767" s="162">
        <f>Interims!CN106</f>
        <v>5.3271434338415746E-2</v>
      </c>
      <c r="J767" s="162">
        <f>Interims!CO106</f>
        <v>0.15895923625694408</v>
      </c>
      <c r="K767" s="162"/>
      <c r="L767" s="162">
        <f>Interims!CP106</f>
        <v>0.15917504781884362</v>
      </c>
    </row>
    <row r="769" spans="2:6">
      <c r="B769" s="306" t="s">
        <v>478</v>
      </c>
    </row>
    <row r="771" spans="2:6">
      <c r="B771" s="108"/>
      <c r="C771" s="108">
        <v>2013</v>
      </c>
      <c r="D771" s="141" t="s">
        <v>1191</v>
      </c>
    </row>
    <row r="772" spans="2:6">
      <c r="B772" t="s">
        <v>1250</v>
      </c>
      <c r="C772" s="166">
        <f>'Master old'!O350+'Master old'!O346</f>
        <v>840394</v>
      </c>
      <c r="D772">
        <v>1435600</v>
      </c>
      <c r="E772" s="57"/>
    </row>
    <row r="774" spans="2:6">
      <c r="B774" s="59" t="s">
        <v>1251</v>
      </c>
    </row>
    <row r="775" spans="2:6">
      <c r="C775">
        <v>722000</v>
      </c>
    </row>
    <row r="776" spans="2:6">
      <c r="B776" s="108"/>
      <c r="C776" s="108">
        <f>80000+10000</f>
        <v>90000</v>
      </c>
      <c r="D776" s="108"/>
    </row>
    <row r="777" spans="2:6">
      <c r="B777" t="s">
        <v>1252</v>
      </c>
      <c r="C777">
        <f>C775+C776</f>
        <v>812000</v>
      </c>
      <c r="D777">
        <f>C777+D782+D784</f>
        <v>1792000</v>
      </c>
    </row>
    <row r="778" spans="2:6">
      <c r="C778" s="57">
        <f>C777/C772</f>
        <v>0.96621346654069395</v>
      </c>
    </row>
    <row r="779" spans="2:6">
      <c r="F779">
        <f>D784/D777</f>
        <v>0.10044642857142858</v>
      </c>
    </row>
    <row r="780" spans="2:6">
      <c r="B780" t="s">
        <v>1253</v>
      </c>
    </row>
    <row r="781" spans="2:6">
      <c r="B781" t="s">
        <v>1254</v>
      </c>
    </row>
    <row r="782" spans="2:6">
      <c r="B782" s="370">
        <v>41821</v>
      </c>
      <c r="D782">
        <v>800000</v>
      </c>
    </row>
    <row r="783" spans="2:6">
      <c r="B783" s="370" t="s">
        <v>229</v>
      </c>
    </row>
    <row r="784" spans="2:6">
      <c r="B784" s="14">
        <v>41821</v>
      </c>
      <c r="D784">
        <f>300*600</f>
        <v>180000</v>
      </c>
    </row>
    <row r="785" spans="2:8">
      <c r="D785">
        <f>D784/D777</f>
        <v>0.10044642857142858</v>
      </c>
    </row>
    <row r="787" spans="2:8">
      <c r="B787" s="306" t="s">
        <v>1721</v>
      </c>
    </row>
    <row r="789" spans="2:8">
      <c r="B789" s="272" t="s">
        <v>1400</v>
      </c>
      <c r="C789" s="272">
        <v>2015</v>
      </c>
      <c r="D789" s="272">
        <f>C789+1</f>
        <v>2016</v>
      </c>
      <c r="E789" s="272">
        <f>D789+1</f>
        <v>2017</v>
      </c>
      <c r="F789" s="272">
        <f>E789+1</f>
        <v>2018</v>
      </c>
      <c r="G789" s="272">
        <f>F789+1</f>
        <v>2019</v>
      </c>
      <c r="H789" s="272">
        <f>G789+1</f>
        <v>2020</v>
      </c>
    </row>
    <row r="790" spans="2:8">
      <c r="B790" s="3" t="s">
        <v>413</v>
      </c>
      <c r="C790" s="87">
        <f>Peru!Q4</f>
        <v>1153.0029223744293</v>
      </c>
      <c r="D790" s="87">
        <f>Peru!R4</f>
        <v>1736.3177218934911</v>
      </c>
      <c r="E790" s="87">
        <f>Peru!S4</f>
        <v>2311.5559938366719</v>
      </c>
      <c r="F790" s="87">
        <f>Peru!T4</f>
        <v>2423.6179595015574</v>
      </c>
      <c r="G790" s="87">
        <f ca="1">Peru!U4</f>
        <v>2706.3682007596153</v>
      </c>
      <c r="H790" s="87">
        <f ca="1">Peru!V4</f>
        <v>2960.404803190404</v>
      </c>
    </row>
    <row r="791" spans="2:8">
      <c r="B791" s="3" t="s">
        <v>63</v>
      </c>
      <c r="C791" s="5">
        <f>Peru!Q5</f>
        <v>0.52208784665029584</v>
      </c>
      <c r="D791" s="5">
        <f>Peru!R5</f>
        <v>0.505909211676425</v>
      </c>
      <c r="E791" s="5">
        <f>Peru!S5</f>
        <v>0.33129781761132482</v>
      </c>
      <c r="F791" s="5">
        <f>Peru!T5</f>
        <v>4.847901844630953E-2</v>
      </c>
      <c r="G791" s="5">
        <f ca="1">Peru!U5</f>
        <v>0.11666452633327107</v>
      </c>
      <c r="H791" s="5">
        <f ca="1">Peru!V5</f>
        <v>9.3866238289190163E-2</v>
      </c>
    </row>
    <row r="792" spans="2:8">
      <c r="B792" s="3" t="s">
        <v>4</v>
      </c>
      <c r="C792" s="87">
        <f>Peru!Q7</f>
        <v>-820.84963470319633</v>
      </c>
      <c r="D792" s="87">
        <f>Peru!R7</f>
        <v>-605.64782544378693</v>
      </c>
      <c r="E792" s="87">
        <f>Peru!S7</f>
        <v>-381.74650231124809</v>
      </c>
      <c r="F792" s="87">
        <f>Peru!T7</f>
        <v>-272.48579439252336</v>
      </c>
      <c r="G792" s="87">
        <f ca="1">Peru!U7</f>
        <v>0.95628803976637755</v>
      </c>
      <c r="H792" s="87">
        <f ca="1">Peru!V7</f>
        <v>187.25446889847444</v>
      </c>
    </row>
    <row r="793" spans="2:8">
      <c r="B793" s="3" t="s">
        <v>5</v>
      </c>
      <c r="C793" s="5">
        <f t="shared" ref="C793:H793" si="63">C792/C790</f>
        <v>-0.71192329071706495</v>
      </c>
      <c r="D793" s="5">
        <f t="shared" si="63"/>
        <v>-0.34881163614647392</v>
      </c>
      <c r="E793" s="5">
        <f t="shared" si="63"/>
        <v>-0.16514698468438713</v>
      </c>
      <c r="F793" s="5">
        <f t="shared" si="63"/>
        <v>-0.11242935105521455</v>
      </c>
      <c r="G793" s="5">
        <f t="shared" ca="1" si="63"/>
        <v>3.5334735292040807E-4</v>
      </c>
      <c r="H793" s="5">
        <f t="shared" ca="1" si="63"/>
        <v>6.3252994555566128E-2</v>
      </c>
    </row>
    <row r="794" spans="2:8">
      <c r="B794" s="3" t="s">
        <v>137</v>
      </c>
      <c r="C794" s="87">
        <f>Peru!Q11</f>
        <v>765.6</v>
      </c>
      <c r="D794" s="87">
        <f>Peru!R11</f>
        <v>522.35</v>
      </c>
      <c r="E794" s="87">
        <f>Peru!S11</f>
        <v>521.59999999999991</v>
      </c>
      <c r="F794" s="87">
        <f>Peru!T11</f>
        <v>532.03199999999993</v>
      </c>
      <c r="G794" s="87">
        <f>Peru!U11</f>
        <v>532.03199999999993</v>
      </c>
      <c r="H794" s="87">
        <f>Peru!V11</f>
        <v>532.03199999999993</v>
      </c>
    </row>
    <row r="795" spans="2:8">
      <c r="B795" s="3" t="s">
        <v>85</v>
      </c>
      <c r="C795" s="5">
        <f t="shared" ref="C795:H795" si="64">C794/C790</f>
        <v>0.66400525544494415</v>
      </c>
      <c r="D795" s="5">
        <f t="shared" si="64"/>
        <v>0.3008377979523047</v>
      </c>
      <c r="E795" s="5">
        <f t="shared" si="64"/>
        <v>0.22564887088642799</v>
      </c>
      <c r="F795" s="5">
        <f t="shared" si="64"/>
        <v>0.21951974646590666</v>
      </c>
      <c r="G795" s="5">
        <f t="shared" ca="1" si="64"/>
        <v>0.19658522437954701</v>
      </c>
      <c r="H795" s="5">
        <f t="shared" ca="1" si="64"/>
        <v>0.1797159629746018</v>
      </c>
    </row>
    <row r="796" spans="2:8">
      <c r="B796" s="3" t="s">
        <v>177</v>
      </c>
      <c r="C796" s="87">
        <f t="shared" ref="C796:H796" si="65">C792-C794</f>
        <v>-1586.4496347031964</v>
      </c>
      <c r="D796" s="87">
        <f t="shared" si="65"/>
        <v>-1127.997825443787</v>
      </c>
      <c r="E796" s="87">
        <f t="shared" si="65"/>
        <v>-903.34650231124806</v>
      </c>
      <c r="F796" s="87">
        <f t="shared" si="65"/>
        <v>-804.51779439252323</v>
      </c>
      <c r="G796" s="87">
        <f t="shared" ca="1" si="65"/>
        <v>-531.07571196023355</v>
      </c>
      <c r="H796" s="87">
        <f t="shared" ca="1" si="65"/>
        <v>-344.77753110152548</v>
      </c>
    </row>
    <row r="797" spans="2:8">
      <c r="B797" s="3"/>
      <c r="C797" s="3"/>
      <c r="D797" s="3"/>
      <c r="E797" s="3"/>
      <c r="F797" s="3"/>
      <c r="G797" s="3"/>
      <c r="H797" s="3"/>
    </row>
    <row r="798" spans="2:8">
      <c r="B798" s="95" t="s">
        <v>602</v>
      </c>
      <c r="C798" s="3"/>
      <c r="D798" s="3"/>
      <c r="E798" s="3"/>
      <c r="F798" s="3"/>
      <c r="G798" s="3"/>
      <c r="H798" s="3"/>
    </row>
    <row r="799" spans="2:8">
      <c r="B799" s="3" t="s">
        <v>413</v>
      </c>
      <c r="C799" s="87">
        <v>1178.1999974246237</v>
      </c>
      <c r="D799" s="87">
        <v>1506.7594207563047</v>
      </c>
      <c r="E799" s="87">
        <v>2093.3909431113257</v>
      </c>
      <c r="F799" s="87">
        <v>2505.7946238882691</v>
      </c>
      <c r="G799" s="87">
        <v>2849.8877079838799</v>
      </c>
      <c r="H799" s="87">
        <v>3183.4830207314949</v>
      </c>
    </row>
    <row r="800" spans="2:8">
      <c r="B800" s="3" t="s">
        <v>63</v>
      </c>
      <c r="C800" s="5">
        <v>0.55535069530470849</v>
      </c>
      <c r="D800" s="5">
        <v>0.27886557804266232</v>
      </c>
      <c r="E800" s="5">
        <v>0.38933323679540455</v>
      </c>
      <c r="F800" s="5">
        <v>0.19700270612807946</v>
      </c>
      <c r="G800" s="5">
        <v>0.137318948973431</v>
      </c>
      <c r="H800" s="5">
        <v>0.11705559900239471</v>
      </c>
    </row>
    <row r="801" spans="2:13">
      <c r="B801" s="3" t="s">
        <v>4</v>
      </c>
      <c r="C801" s="87">
        <v>-795.09853053897746</v>
      </c>
      <c r="D801" s="87">
        <v>-285.09803474218222</v>
      </c>
      <c r="E801" s="87">
        <v>218.79493620818187</v>
      </c>
      <c r="F801" s="87">
        <v>533.76937629542772</v>
      </c>
      <c r="G801" s="87">
        <v>759.7331696530282</v>
      </c>
      <c r="H801" s="87">
        <v>952.00919933381965</v>
      </c>
    </row>
    <row r="802" spans="2:13">
      <c r="B802" s="3" t="s">
        <v>5</v>
      </c>
      <c r="C802" s="5">
        <v>-0.67484173508483181</v>
      </c>
      <c r="D802" s="5">
        <v>-0.18921271094431236</v>
      </c>
      <c r="E802" s="5">
        <v>0.10451699761488194</v>
      </c>
      <c r="F802" s="5">
        <v>0.21301401607573564</v>
      </c>
      <c r="G802" s="5">
        <v>0.26658354556379787</v>
      </c>
      <c r="H802" s="5">
        <v>0.29904641963979084</v>
      </c>
    </row>
    <row r="803" spans="2:13">
      <c r="B803" s="3" t="s">
        <v>137</v>
      </c>
      <c r="C803" s="87">
        <v>795.19999999999993</v>
      </c>
      <c r="D803" s="87">
        <v>795.19999999999993</v>
      </c>
      <c r="E803" s="87">
        <v>795.19999999999993</v>
      </c>
      <c r="F803" s="87">
        <v>699.77599999999995</v>
      </c>
      <c r="G803" s="87">
        <v>594.80959999999993</v>
      </c>
      <c r="H803" s="87">
        <v>505.5881599999999</v>
      </c>
    </row>
    <row r="804" spans="2:13">
      <c r="B804" s="3" t="s">
        <v>85</v>
      </c>
      <c r="C804" s="5">
        <f t="shared" ref="C804:H804" si="66">C803/C799</f>
        <v>0.67492785752689965</v>
      </c>
      <c r="D804" s="5">
        <f t="shared" si="66"/>
        <v>0.52775512072183117</v>
      </c>
      <c r="E804" s="5">
        <f t="shared" si="66"/>
        <v>0.37986215743253626</v>
      </c>
      <c r="F804" s="5">
        <f t="shared" si="66"/>
        <v>0.27926311012438432</v>
      </c>
      <c r="G804" s="5">
        <f t="shared" si="66"/>
        <v>0.20871334626050622</v>
      </c>
      <c r="H804" s="5">
        <f t="shared" si="66"/>
        <v>0.15881603787659807</v>
      </c>
    </row>
    <row r="805" spans="2:13">
      <c r="B805" s="3" t="s">
        <v>177</v>
      </c>
      <c r="C805" s="87">
        <v>-1590.2985305389775</v>
      </c>
      <c r="D805" s="87">
        <v>-1080.2980347421822</v>
      </c>
      <c r="E805" s="87">
        <v>-576.40506379181807</v>
      </c>
      <c r="F805" s="87">
        <v>-166.00662370457223</v>
      </c>
      <c r="G805" s="87">
        <v>164.92356965302827</v>
      </c>
      <c r="H805" s="87">
        <v>446.42103933381975</v>
      </c>
    </row>
    <row r="806" spans="2:13">
      <c r="B806" s="3"/>
      <c r="C806" s="3"/>
      <c r="D806" s="3"/>
      <c r="E806" s="3"/>
      <c r="F806" s="3"/>
      <c r="G806" s="3"/>
      <c r="H806" s="3"/>
    </row>
    <row r="807" spans="2:13">
      <c r="B807" s="95" t="s">
        <v>958</v>
      </c>
      <c r="C807" s="3"/>
      <c r="D807" s="3"/>
      <c r="E807" s="3"/>
      <c r="F807" s="3"/>
      <c r="G807" s="3"/>
      <c r="H807" s="3"/>
    </row>
    <row r="808" spans="2:13">
      <c r="B808" s="3" t="s">
        <v>413</v>
      </c>
      <c r="C808" s="5">
        <f t="shared" ref="C808:H808" si="67">C790/C799-1</f>
        <v>-2.1386076307309043E-2</v>
      </c>
      <c r="D808" s="5">
        <f t="shared" si="67"/>
        <v>0.15235232511236707</v>
      </c>
      <c r="E808" s="5">
        <f t="shared" si="67"/>
        <v>0.10421610518725943</v>
      </c>
      <c r="F808" s="5">
        <f t="shared" si="67"/>
        <v>-3.2794652683545644E-2</v>
      </c>
      <c r="G808" s="5">
        <f t="shared" ca="1" si="67"/>
        <v>-5.035970604111828E-2</v>
      </c>
      <c r="H808" s="5">
        <f t="shared" ca="1" si="67"/>
        <v>-7.0073631958568527E-2</v>
      </c>
    </row>
    <row r="809" spans="2:13">
      <c r="B809" s="3" t="s">
        <v>4</v>
      </c>
      <c r="C809" s="5">
        <f t="shared" ref="C809:H809" si="68">C792/C801-1</f>
        <v>3.2387311981023181E-2</v>
      </c>
      <c r="D809" s="5">
        <f t="shared" si="68"/>
        <v>1.1243493522902814</v>
      </c>
      <c r="E809" s="5">
        <f t="shared" si="68"/>
        <v>-2.7447684527214968</v>
      </c>
      <c r="F809" s="5">
        <f t="shared" si="68"/>
        <v>-1.5104934949316191</v>
      </c>
      <c r="G809" s="5">
        <f t="shared" ca="1" si="68"/>
        <v>-0.99874128433775888</v>
      </c>
      <c r="H809" s="5">
        <f t="shared" ca="1" si="68"/>
        <v>-0.80330602999476464</v>
      </c>
    </row>
    <row r="810" spans="2:13">
      <c r="B810" s="3" t="s">
        <v>137</v>
      </c>
      <c r="C810" s="5">
        <f t="shared" ref="C810:H810" si="69">C794/C803-1</f>
        <v>-3.7223340040241304E-2</v>
      </c>
      <c r="D810" s="5">
        <f t="shared" si="69"/>
        <v>-0.34312122736418504</v>
      </c>
      <c r="E810" s="5">
        <f t="shared" si="69"/>
        <v>-0.34406438631790748</v>
      </c>
      <c r="F810" s="5">
        <f t="shared" si="69"/>
        <v>-0.23971099323212008</v>
      </c>
      <c r="G810" s="5">
        <f t="shared" si="69"/>
        <v>-0.10554234497896475</v>
      </c>
      <c r="H810" s="5">
        <f t="shared" si="69"/>
        <v>5.2303123554159336E-2</v>
      </c>
    </row>
    <row r="811" spans="2:13">
      <c r="B811" s="3" t="s">
        <v>177</v>
      </c>
      <c r="C811" s="5">
        <f t="shared" ref="C811:H811" si="70">C796/C805-1</f>
        <v>-2.4202347935746715E-3</v>
      </c>
      <c r="D811" s="5">
        <f t="shared" si="70"/>
        <v>4.4154288138632536E-2</v>
      </c>
      <c r="E811" s="5">
        <f t="shared" si="70"/>
        <v>0.56720778330551314</v>
      </c>
      <c r="F811" s="5">
        <f t="shared" si="70"/>
        <v>3.8462993610679934</v>
      </c>
      <c r="G811" s="5">
        <f t="shared" ca="1" si="70"/>
        <v>-4.2201322896268163</v>
      </c>
      <c r="H811" s="5">
        <f t="shared" ca="1" si="70"/>
        <v>-1.772314700077815</v>
      </c>
    </row>
    <row r="813" spans="2:13">
      <c r="B813" s="306" t="s">
        <v>1352</v>
      </c>
    </row>
    <row r="815" spans="2:13">
      <c r="B815" s="2" t="s">
        <v>1353</v>
      </c>
      <c r="C815" s="150" t="str">
        <f>Interims!AA122</f>
        <v>Q1 13</v>
      </c>
      <c r="D815" s="150" t="str">
        <f>Interims!AB122</f>
        <v>Q2 13</v>
      </c>
      <c r="E815" s="150" t="str">
        <f>Interims!AC122</f>
        <v>Q3 13</v>
      </c>
      <c r="F815" s="150" t="str">
        <f>Interims!AD122</f>
        <v>Q4 13</v>
      </c>
      <c r="G815" s="150" t="str">
        <f>Interims!AE122</f>
        <v>Q1 14</v>
      </c>
      <c r="H815" s="150" t="str">
        <f>Interims!AF122</f>
        <v>Q2 14</v>
      </c>
      <c r="I815" s="150" t="str">
        <f>Interims!AG122</f>
        <v>Q3 14</v>
      </c>
      <c r="J815" s="150" t="str">
        <f>Interims!AH122</f>
        <v>Q4 14</v>
      </c>
      <c r="K815" s="150" t="str">
        <f>Interims!AI122</f>
        <v>Q1 15</v>
      </c>
      <c r="L815" s="150" t="str">
        <f>Interims!AJ122</f>
        <v>Q2 15</v>
      </c>
      <c r="M815" s="150" t="str">
        <f>Interims!AK122</f>
        <v>Q3 15</v>
      </c>
    </row>
    <row r="816" spans="2:13">
      <c r="B816" s="3" t="s">
        <v>413</v>
      </c>
      <c r="C816" s="87">
        <f>Interims!AA137</f>
        <v>372718</v>
      </c>
      <c r="D816" s="87">
        <f>Interims!AB137</f>
        <v>391144</v>
      </c>
      <c r="E816" s="87">
        <f>Interims!AC137</f>
        <v>390409</v>
      </c>
      <c r="F816" s="87">
        <f>Interims!AD137</f>
        <v>422112</v>
      </c>
      <c r="G816" s="87">
        <f>Interims!AE137</f>
        <v>378089</v>
      </c>
      <c r="H816" s="87">
        <f>Interims!AF137</f>
        <v>365273</v>
      </c>
      <c r="I816" s="87">
        <f>Interims!AG137</f>
        <v>362018</v>
      </c>
      <c r="J816" s="87">
        <f>Interims!AH137</f>
        <v>380920</v>
      </c>
      <c r="K816" s="87">
        <f>Interims!AI137</f>
        <v>377457</v>
      </c>
      <c r="L816" s="87">
        <f>Interims!AJ137</f>
        <v>379508</v>
      </c>
      <c r="M816" s="87">
        <f>Interims!AK137</f>
        <v>378200</v>
      </c>
    </row>
    <row r="817" spans="2:13">
      <c r="B817" s="3" t="s">
        <v>400</v>
      </c>
      <c r="C817" s="3"/>
      <c r="D817" s="3"/>
      <c r="E817" s="3"/>
      <c r="F817" s="3"/>
      <c r="G817" s="8">
        <f t="shared" ref="G817:M817" si="71">G816/C816-1</f>
        <v>1.4410358501601772E-2</v>
      </c>
      <c r="H817" s="8">
        <f t="shared" si="71"/>
        <v>-6.6141881250894818E-2</v>
      </c>
      <c r="I817" s="8">
        <f t="shared" si="71"/>
        <v>-7.2721171899213344E-2</v>
      </c>
      <c r="J817" s="8">
        <f t="shared" si="71"/>
        <v>-9.7585474945038331E-2</v>
      </c>
      <c r="K817" s="8">
        <f t="shared" si="71"/>
        <v>-1.6715641026319172E-3</v>
      </c>
      <c r="L817" s="8">
        <f t="shared" si="71"/>
        <v>3.8970851938139317E-2</v>
      </c>
      <c r="M817" s="8">
        <f t="shared" si="71"/>
        <v>4.4699434834732044E-2</v>
      </c>
    </row>
    <row r="818" spans="2:13">
      <c r="B818" s="3" t="s">
        <v>4</v>
      </c>
      <c r="C818" s="87">
        <f>Interims!AA152</f>
        <v>117506</v>
      </c>
      <c r="D818" s="87">
        <f>Interims!AB152</f>
        <v>117668</v>
      </c>
      <c r="E818" s="87">
        <f>Interims!AC152</f>
        <v>117457</v>
      </c>
      <c r="F818" s="87">
        <f>Interims!AD152</f>
        <v>116275</v>
      </c>
      <c r="G818" s="87">
        <f>Interims!AE152</f>
        <v>120383.34272250001</v>
      </c>
      <c r="H818" s="87">
        <f>Interims!AF152</f>
        <v>121877.31265538461</v>
      </c>
      <c r="I818" s="87">
        <f>Interims!AG152</f>
        <v>114901.10016666667</v>
      </c>
      <c r="J818" s="87">
        <f>Interims!AH152</f>
        <v>112101.61715151515</v>
      </c>
      <c r="K818" s="87">
        <f>Interims!AI152</f>
        <v>135282</v>
      </c>
      <c r="L818" s="87">
        <f>Interims!AJ152</f>
        <v>134989</v>
      </c>
      <c r="M818" s="87">
        <f>Interims!AK152</f>
        <v>130020</v>
      </c>
    </row>
    <row r="819" spans="2:13">
      <c r="B819" s="3" t="s">
        <v>400</v>
      </c>
      <c r="C819" s="3"/>
      <c r="D819" s="3"/>
      <c r="E819" s="3"/>
      <c r="F819" s="3"/>
      <c r="G819" s="8">
        <f t="shared" ref="G819:M819" si="72">G818/C818-1</f>
        <v>2.4486772781815436E-2</v>
      </c>
      <c r="H819" s="8">
        <f t="shared" si="72"/>
        <v>3.5772790014146683E-2</v>
      </c>
      <c r="I819" s="8">
        <f t="shared" si="72"/>
        <v>-2.1760302351782612E-2</v>
      </c>
      <c r="J819" s="8">
        <f t="shared" si="72"/>
        <v>-3.5892348729175239E-2</v>
      </c>
      <c r="K819" s="8">
        <f t="shared" si="72"/>
        <v>0.12376012279243165</v>
      </c>
      <c r="L819" s="8">
        <f t="shared" si="72"/>
        <v>0.10758103422980336</v>
      </c>
      <c r="M819" s="8">
        <f t="shared" si="72"/>
        <v>0.13158185440699022</v>
      </c>
    </row>
    <row r="820" spans="2:13">
      <c r="B820" s="3" t="s">
        <v>1645</v>
      </c>
      <c r="C820" s="8">
        <f t="shared" ref="C820:M820" si="73">C818/C816</f>
        <v>0.31526784324878326</v>
      </c>
      <c r="D820" s="8">
        <f t="shared" si="73"/>
        <v>0.30083038471764872</v>
      </c>
      <c r="E820" s="8">
        <f t="shared" si="73"/>
        <v>0.3008562814894124</v>
      </c>
      <c r="F820" s="8">
        <f t="shared" si="73"/>
        <v>0.27546006747024487</v>
      </c>
      <c r="G820" s="8">
        <f t="shared" si="73"/>
        <v>0.31839948457241551</v>
      </c>
      <c r="H820" s="8">
        <f t="shared" si="73"/>
        <v>0.33366088557157142</v>
      </c>
      <c r="I820" s="8">
        <f t="shared" si="73"/>
        <v>0.31739057219990902</v>
      </c>
      <c r="J820" s="8">
        <f t="shared" si="73"/>
        <v>0.29429175982231215</v>
      </c>
      <c r="K820" s="8">
        <f t="shared" si="73"/>
        <v>0.35840373870401132</v>
      </c>
      <c r="L820" s="8">
        <f t="shared" si="73"/>
        <v>0.35569474161282505</v>
      </c>
      <c r="M820" s="8">
        <f t="shared" si="73"/>
        <v>0.34378635642517186</v>
      </c>
    </row>
    <row r="821" spans="2:13">
      <c r="B821" s="3" t="s">
        <v>670</v>
      </c>
      <c r="C821" s="87">
        <f t="shared" ref="C821:M821" si="74">C816-C818</f>
        <v>255212</v>
      </c>
      <c r="D821" s="87">
        <f t="shared" si="74"/>
        <v>273476</v>
      </c>
      <c r="E821" s="87">
        <f t="shared" si="74"/>
        <v>272952</v>
      </c>
      <c r="F821" s="87">
        <f t="shared" si="74"/>
        <v>305837</v>
      </c>
      <c r="G821" s="87">
        <f t="shared" si="74"/>
        <v>257705.65727749999</v>
      </c>
      <c r="H821" s="87">
        <f t="shared" si="74"/>
        <v>243395.68734461541</v>
      </c>
      <c r="I821" s="87">
        <f t="shared" si="74"/>
        <v>247116.89983333333</v>
      </c>
      <c r="J821" s="87">
        <f t="shared" si="74"/>
        <v>268818.38284848485</v>
      </c>
      <c r="K821" s="87">
        <f t="shared" si="74"/>
        <v>242175</v>
      </c>
      <c r="L821" s="87">
        <f t="shared" si="74"/>
        <v>244519</v>
      </c>
      <c r="M821" s="87">
        <f t="shared" si="74"/>
        <v>248180</v>
      </c>
    </row>
    <row r="822" spans="2:13">
      <c r="B822" s="3" t="s">
        <v>400</v>
      </c>
      <c r="C822" s="3"/>
      <c r="D822" s="3"/>
      <c r="E822" s="3"/>
      <c r="F822" s="3"/>
      <c r="G822" s="8">
        <f t="shared" ref="G822:M822" si="75">G821/C821-1</f>
        <v>9.7709248683446326E-3</v>
      </c>
      <c r="H822" s="8">
        <f t="shared" si="75"/>
        <v>-0.10999251362234563</v>
      </c>
      <c r="I822" s="8">
        <f t="shared" si="75"/>
        <v>-9.4650708427367003E-2</v>
      </c>
      <c r="J822" s="8">
        <f t="shared" si="75"/>
        <v>-0.12104034878551373</v>
      </c>
      <c r="K822" s="8">
        <f t="shared" si="75"/>
        <v>-6.026510027591836E-2</v>
      </c>
      <c r="L822" s="8">
        <f t="shared" si="75"/>
        <v>4.6151707437369627E-3</v>
      </c>
      <c r="M822" s="8">
        <f t="shared" si="75"/>
        <v>4.3020132066389216E-3</v>
      </c>
    </row>
    <row r="823" spans="2:13">
      <c r="B823" s="142"/>
      <c r="C823" s="142"/>
      <c r="D823" s="142"/>
      <c r="E823" s="142"/>
      <c r="F823" s="142"/>
      <c r="G823" s="142"/>
    </row>
    <row r="824" spans="2:13">
      <c r="B824" s="306" t="s">
        <v>1396</v>
      </c>
    </row>
    <row r="826" spans="2:13">
      <c r="C826" t="str">
        <f t="shared" ref="C826:L826" si="76">C815</f>
        <v>Q1 13</v>
      </c>
      <c r="D826" t="str">
        <f t="shared" si="76"/>
        <v>Q2 13</v>
      </c>
      <c r="E826" t="str">
        <f t="shared" si="76"/>
        <v>Q3 13</v>
      </c>
      <c r="F826" t="str">
        <f t="shared" si="76"/>
        <v>Q4 13</v>
      </c>
      <c r="G826" t="str">
        <f t="shared" si="76"/>
        <v>Q1 14</v>
      </c>
      <c r="H826" t="str">
        <f t="shared" si="76"/>
        <v>Q2 14</v>
      </c>
      <c r="I826" t="str">
        <f t="shared" si="76"/>
        <v>Q3 14</v>
      </c>
      <c r="J826" t="str">
        <f t="shared" si="76"/>
        <v>Q4 14</v>
      </c>
      <c r="K826" t="str">
        <f t="shared" si="76"/>
        <v>Q1 15</v>
      </c>
      <c r="L826" t="str">
        <f t="shared" si="76"/>
        <v>Q2 15</v>
      </c>
    </row>
    <row r="827" spans="2:13">
      <c r="B827" t="s">
        <v>936</v>
      </c>
      <c r="C827" s="57">
        <v>0.42068361086765993</v>
      </c>
      <c r="D827" s="57">
        <v>0.37860780984719866</v>
      </c>
      <c r="E827" s="57">
        <v>0.3588709677419355</v>
      </c>
      <c r="F827" s="57">
        <v>0.36042944785276071</v>
      </c>
      <c r="G827" s="57">
        <v>0.38072669826224331</v>
      </c>
      <c r="H827" s="57">
        <v>0.38139534883720932</v>
      </c>
      <c r="I827" s="57">
        <v>0.36261261261261263</v>
      </c>
      <c r="J827" s="57">
        <v>0.28602461984069516</v>
      </c>
      <c r="K827" s="57">
        <v>0.29381443298969073</v>
      </c>
      <c r="L827" s="57"/>
    </row>
    <row r="828" spans="2:13">
      <c r="B828" t="s">
        <v>134</v>
      </c>
      <c r="C828" s="57">
        <v>0.36099999999999999</v>
      </c>
      <c r="D828" s="57">
        <v>0.33700000000000002</v>
      </c>
      <c r="E828" s="57">
        <v>0.36599999999999999</v>
      </c>
      <c r="F828" s="57">
        <v>0.36299999999999999</v>
      </c>
      <c r="G828" s="57">
        <v>0.37</v>
      </c>
      <c r="H828" s="57">
        <v>0.34399999999999997</v>
      </c>
      <c r="I828" s="57">
        <v>0.39700000000000002</v>
      </c>
      <c r="J828" s="57">
        <v>0.24299999999999999</v>
      </c>
      <c r="K828" s="57">
        <v>0.34399999999999997</v>
      </c>
      <c r="L828" s="57"/>
    </row>
    <row r="830" spans="2:13">
      <c r="B830" s="306" t="s">
        <v>1399</v>
      </c>
    </row>
    <row r="832" spans="2:13">
      <c r="C832">
        <v>2012</v>
      </c>
      <c r="D832">
        <v>2013</v>
      </c>
      <c r="E832">
        <f t="shared" ref="E832:K832" si="77">D832+1</f>
        <v>2014</v>
      </c>
      <c r="F832">
        <f t="shared" si="77"/>
        <v>2015</v>
      </c>
      <c r="G832">
        <f t="shared" si="77"/>
        <v>2016</v>
      </c>
      <c r="H832">
        <f t="shared" si="77"/>
        <v>2017</v>
      </c>
      <c r="I832">
        <f t="shared" si="77"/>
        <v>2018</v>
      </c>
      <c r="J832">
        <f t="shared" si="77"/>
        <v>2019</v>
      </c>
      <c r="K832">
        <f t="shared" si="77"/>
        <v>2020</v>
      </c>
    </row>
    <row r="833" spans="2:11">
      <c r="B833" t="s">
        <v>177</v>
      </c>
      <c r="C833">
        <f>'Master old'!N283</f>
        <v>161750.80406665889</v>
      </c>
      <c r="D833">
        <f>'Master old'!O283</f>
        <v>162679.5099624666</v>
      </c>
      <c r="E833">
        <f>'Master old'!P283</f>
        <v>124622.29396972025</v>
      </c>
      <c r="F833">
        <f>'Master old'!Q283</f>
        <v>259193.92004580377</v>
      </c>
      <c r="G833">
        <f>'Master old'!R283</f>
        <v>282486.56214225781</v>
      </c>
      <c r="H833">
        <f>'Master old'!S283</f>
        <v>235244.62241288478</v>
      </c>
      <c r="I833">
        <f ca="1">'Master old'!T283</f>
        <v>153064.94765888958</v>
      </c>
      <c r="J833">
        <f ca="1">'Master old'!U283</f>
        <v>194341.2248532254</v>
      </c>
      <c r="K833">
        <f ca="1">'Master old'!V283</f>
        <v>197689.24948791898</v>
      </c>
    </row>
    <row r="834" spans="2:11">
      <c r="B834" t="s">
        <v>419</v>
      </c>
      <c r="C834" s="162" t="e">
        <f>Valuation!#REF!</f>
        <v>#REF!</v>
      </c>
      <c r="D834" s="162" t="e">
        <f>Valuation!#REF!</f>
        <v>#REF!</v>
      </c>
      <c r="E834" s="162" t="e">
        <f>Valuation!#REF!</f>
        <v>#REF!</v>
      </c>
      <c r="F834" s="162" t="e">
        <f>Valuation!#REF!</f>
        <v>#REF!</v>
      </c>
      <c r="G834" s="162" t="e">
        <f>Valuation!#REF!</f>
        <v>#REF!</v>
      </c>
      <c r="H834" s="162" t="e">
        <f>Valuation!#REF!</f>
        <v>#REF!</v>
      </c>
      <c r="I834" s="162" t="e">
        <f>Valuation!#REF!</f>
        <v>#REF!</v>
      </c>
      <c r="J834" s="162" t="e">
        <f>Valuation!#REF!</f>
        <v>#REF!</v>
      </c>
      <c r="K834" s="162" t="e">
        <f>Valuation!#REF!</f>
        <v>#REF!</v>
      </c>
    </row>
    <row r="862" spans="4:10">
      <c r="D862" t="s">
        <v>1484</v>
      </c>
      <c r="E862" t="s">
        <v>1485</v>
      </c>
      <c r="F862" t="s">
        <v>1486</v>
      </c>
      <c r="G862" t="s">
        <v>1487</v>
      </c>
      <c r="H862" t="s">
        <v>1489</v>
      </c>
      <c r="I862" t="s">
        <v>1490</v>
      </c>
      <c r="J862" t="s">
        <v>1488</v>
      </c>
    </row>
    <row r="863" spans="4:10">
      <c r="D863" s="162">
        <v>0.39278442685205683</v>
      </c>
      <c r="E863" s="162">
        <v>0.50604791557322615</v>
      </c>
      <c r="F863" s="162">
        <v>2.0051515224993881E-3</v>
      </c>
      <c r="G863" s="162">
        <v>4.4669081556908054E-2</v>
      </c>
      <c r="H863" s="162">
        <v>4.8154142063440541E-2</v>
      </c>
      <c r="I863" s="162">
        <v>6.155467098228568E-3</v>
      </c>
      <c r="J863" s="162">
        <v>1.8381533364047442E-4</v>
      </c>
    </row>
    <row r="880" spans="4:15">
      <c r="D880" t="s">
        <v>1491</v>
      </c>
      <c r="E880" t="s">
        <v>1492</v>
      </c>
      <c r="F880" t="s">
        <v>1493</v>
      </c>
      <c r="G880" t="s">
        <v>1494</v>
      </c>
      <c r="H880" t="s">
        <v>1495</v>
      </c>
      <c r="I880" t="s">
        <v>1496</v>
      </c>
      <c r="J880" t="s">
        <v>1497</v>
      </c>
      <c r="K880" t="s">
        <v>1498</v>
      </c>
      <c r="L880" t="s">
        <v>1499</v>
      </c>
      <c r="M880" t="s">
        <v>1500</v>
      </c>
      <c r="N880" t="s">
        <v>1501</v>
      </c>
      <c r="O880" t="s">
        <v>1502</v>
      </c>
    </row>
    <row r="881" spans="2:15">
      <c r="D881" s="57">
        <v>4.2903281064595838E-4</v>
      </c>
      <c r="E881" s="57">
        <v>1.1787647140263614E-3</v>
      </c>
      <c r="F881" s="57">
        <v>2.8162855692448006E-3</v>
      </c>
      <c r="G881" s="57">
        <v>4.8863591032001861E-3</v>
      </c>
      <c r="H881" s="57">
        <v>3.6689540594638692E-2</v>
      </c>
      <c r="I881" s="57">
        <v>0.13762879783989607</v>
      </c>
      <c r="J881" s="57">
        <v>0.19014053659997951</v>
      </c>
      <c r="K881" s="57">
        <v>0.27684779386400948</v>
      </c>
      <c r="L881" s="57">
        <v>0.34888854298580241</v>
      </c>
      <c r="M881" s="57">
        <v>4.6149381637395704E-4</v>
      </c>
      <c r="N881" s="57">
        <v>3.2852102182552875E-5</v>
      </c>
      <c r="O881" s="57"/>
    </row>
    <row r="883" spans="2:15">
      <c r="C883" s="162"/>
    </row>
    <row r="884" spans="2:15">
      <c r="C884" s="162"/>
    </row>
    <row r="885" spans="2:15">
      <c r="C885" s="162"/>
    </row>
    <row r="886" spans="2:15">
      <c r="B886" t="s">
        <v>1509</v>
      </c>
      <c r="C886" s="162">
        <v>8.9999999999999993E-3</v>
      </c>
    </row>
    <row r="887" spans="2:15">
      <c r="B887" t="s">
        <v>1503</v>
      </c>
      <c r="C887" s="162">
        <v>3.6689540594638692E-2</v>
      </c>
    </row>
    <row r="888" spans="2:15">
      <c r="B888" t="s">
        <v>1504</v>
      </c>
      <c r="C888" s="162">
        <v>0.13762879783989607</v>
      </c>
    </row>
    <row r="889" spans="2:15">
      <c r="B889" t="s">
        <v>1505</v>
      </c>
      <c r="C889" s="162">
        <v>0.19014053659997951</v>
      </c>
    </row>
    <row r="890" spans="2:15">
      <c r="B890" t="s">
        <v>1506</v>
      </c>
      <c r="C890" s="162">
        <v>0.27684779386400948</v>
      </c>
    </row>
    <row r="891" spans="2:15">
      <c r="B891" t="s">
        <v>1507</v>
      </c>
      <c r="C891" s="162">
        <v>0.34888854298580241</v>
      </c>
    </row>
    <row r="892" spans="2:15">
      <c r="B892" t="s">
        <v>1508</v>
      </c>
      <c r="C892" s="162">
        <v>4.9434591855650992E-4</v>
      </c>
      <c r="D892" s="162"/>
    </row>
    <row r="893" spans="2:15">
      <c r="C893" s="162"/>
    </row>
    <row r="894" spans="2:15">
      <c r="C894" s="57"/>
    </row>
    <row r="902" spans="2:4">
      <c r="B902" t="s">
        <v>1509</v>
      </c>
      <c r="C902" s="162">
        <f>D902/D$906</f>
        <v>4.9819171847697998E-2</v>
      </c>
      <c r="D902">
        <v>1226</v>
      </c>
    </row>
    <row r="903" spans="2:4">
      <c r="B903" t="s">
        <v>1510</v>
      </c>
      <c r="C903" s="162">
        <f>D903/D$906</f>
        <v>0.28778089316916577</v>
      </c>
      <c r="D903">
        <v>7082</v>
      </c>
    </row>
    <row r="904" spans="2:4">
      <c r="B904" t="s">
        <v>1511</v>
      </c>
      <c r="C904" s="162">
        <f>D904/D$906</f>
        <v>0.46877158763054166</v>
      </c>
      <c r="D904">
        <v>11536</v>
      </c>
    </row>
    <row r="905" spans="2:4">
      <c r="B905" t="s">
        <v>1512</v>
      </c>
      <c r="C905" s="162">
        <f>D905/D$906</f>
        <v>0.19362834735259457</v>
      </c>
      <c r="D905" s="108">
        <f>3770+995</f>
        <v>4765</v>
      </c>
    </row>
    <row r="906" spans="2:4">
      <c r="D906">
        <f>SUM(D902:D905)</f>
        <v>24609</v>
      </c>
    </row>
    <row r="917" spans="2:3">
      <c r="B917" t="s">
        <v>1522</v>
      </c>
    </row>
    <row r="918" spans="2:3">
      <c r="B918" t="s">
        <v>1523</v>
      </c>
      <c r="C918" s="178" t="s">
        <v>1524</v>
      </c>
    </row>
    <row r="919" spans="2:3">
      <c r="C919" s="178" t="s">
        <v>1525</v>
      </c>
    </row>
    <row r="920" spans="2:3">
      <c r="C920" s="178" t="s">
        <v>1526</v>
      </c>
    </row>
    <row r="921" spans="2:3">
      <c r="B921" t="s">
        <v>1527</v>
      </c>
      <c r="C921" s="178" t="s">
        <v>1541</v>
      </c>
    </row>
    <row r="922" spans="2:3">
      <c r="C922" s="178"/>
    </row>
    <row r="923" spans="2:3">
      <c r="B923" t="s">
        <v>1528</v>
      </c>
      <c r="C923" s="178"/>
    </row>
    <row r="924" spans="2:3">
      <c r="B924" t="s">
        <v>1535</v>
      </c>
      <c r="C924" s="178" t="s">
        <v>1529</v>
      </c>
    </row>
    <row r="925" spans="2:3">
      <c r="C925" s="178" t="s">
        <v>1530</v>
      </c>
    </row>
    <row r="926" spans="2:3">
      <c r="C926" s="178" t="s">
        <v>1531</v>
      </c>
    </row>
    <row r="927" spans="2:3">
      <c r="C927" s="178" t="s">
        <v>1532</v>
      </c>
    </row>
    <row r="928" spans="2:3">
      <c r="B928" t="s">
        <v>1536</v>
      </c>
      <c r="C928" s="178" t="s">
        <v>1533</v>
      </c>
    </row>
    <row r="929" spans="2:3">
      <c r="C929" s="178" t="s">
        <v>1553</v>
      </c>
    </row>
    <row r="930" spans="2:3">
      <c r="C930" s="178" t="s">
        <v>1552</v>
      </c>
    </row>
    <row r="931" spans="2:3">
      <c r="C931" s="178" t="s">
        <v>1554</v>
      </c>
    </row>
    <row r="932" spans="2:3">
      <c r="C932" s="178" t="s">
        <v>1534</v>
      </c>
    </row>
    <row r="933" spans="2:3">
      <c r="B933" t="s">
        <v>1547</v>
      </c>
      <c r="C933" s="178" t="s">
        <v>1555</v>
      </c>
    </row>
    <row r="934" spans="2:3">
      <c r="C934" s="178" t="s">
        <v>1550</v>
      </c>
    </row>
    <row r="935" spans="2:3">
      <c r="C935" s="178" t="s">
        <v>1548</v>
      </c>
    </row>
    <row r="936" spans="2:3">
      <c r="C936" s="178" t="s">
        <v>1549</v>
      </c>
    </row>
    <row r="937" spans="2:3">
      <c r="C937" s="178" t="s">
        <v>1551</v>
      </c>
    </row>
    <row r="938" spans="2:3">
      <c r="B938" t="s">
        <v>1537</v>
      </c>
      <c r="C938" s="178" t="s">
        <v>1538</v>
      </c>
    </row>
    <row r="939" spans="2:3">
      <c r="C939" s="178" t="s">
        <v>1540</v>
      </c>
    </row>
    <row r="940" spans="2:3">
      <c r="C940" s="178" t="s">
        <v>1539</v>
      </c>
    </row>
    <row r="941" spans="2:3">
      <c r="B941" t="s">
        <v>1542</v>
      </c>
      <c r="C941" s="178" t="s">
        <v>1543</v>
      </c>
    </row>
    <row r="942" spans="2:3">
      <c r="C942" s="178" t="s">
        <v>1544</v>
      </c>
    </row>
    <row r="943" spans="2:3">
      <c r="C943" s="178" t="s">
        <v>1546</v>
      </c>
    </row>
    <row r="944" spans="2:3">
      <c r="C944" s="178" t="s">
        <v>1545</v>
      </c>
    </row>
    <row r="947" spans="2:7">
      <c r="B947" s="306" t="s">
        <v>1624</v>
      </c>
    </row>
    <row r="949" spans="2:7">
      <c r="B949" t="s">
        <v>1631</v>
      </c>
      <c r="C949" s="178" t="s">
        <v>1634</v>
      </c>
      <c r="D949" t="s">
        <v>370</v>
      </c>
      <c r="E949" t="s">
        <v>1628</v>
      </c>
      <c r="F949" t="s">
        <v>1626</v>
      </c>
      <c r="G949" t="s">
        <v>1630</v>
      </c>
    </row>
    <row r="950" spans="2:7">
      <c r="B950" t="s">
        <v>1625</v>
      </c>
      <c r="C950">
        <v>9990</v>
      </c>
      <c r="D950">
        <v>150</v>
      </c>
      <c r="F950">
        <v>1.5</v>
      </c>
      <c r="G950" s="178" t="s">
        <v>1629</v>
      </c>
    </row>
    <row r="951" spans="2:7">
      <c r="C951">
        <v>14990</v>
      </c>
      <c r="D951">
        <v>300</v>
      </c>
      <c r="F951" s="15">
        <v>3</v>
      </c>
      <c r="G951" s="178" t="s">
        <v>1629</v>
      </c>
    </row>
    <row r="952" spans="2:7">
      <c r="C952">
        <v>19990</v>
      </c>
      <c r="D952">
        <v>500</v>
      </c>
      <c r="E952">
        <v>500</v>
      </c>
      <c r="F952">
        <v>5</v>
      </c>
      <c r="G952" s="178" t="s">
        <v>1629</v>
      </c>
    </row>
    <row r="953" spans="2:7">
      <c r="B953" t="s">
        <v>1627</v>
      </c>
      <c r="C953">
        <v>29990</v>
      </c>
      <c r="D953">
        <v>2000</v>
      </c>
      <c r="E953">
        <v>2000</v>
      </c>
      <c r="F953">
        <v>8</v>
      </c>
      <c r="G953" s="178" t="s">
        <v>1629</v>
      </c>
    </row>
    <row r="955" spans="2:7">
      <c r="B955" s="306" t="s">
        <v>133</v>
      </c>
    </row>
    <row r="956" spans="2:7">
      <c r="C956" s="178" t="str">
        <f>C949</f>
        <v>Price</v>
      </c>
      <c r="D956" s="178" t="str">
        <f>D949</f>
        <v>Voice</v>
      </c>
      <c r="E956" s="178" t="str">
        <f>E949</f>
        <v>SMS</v>
      </c>
      <c r="F956" s="178" t="str">
        <f>F949</f>
        <v>GB</v>
      </c>
      <c r="G956" s="178" t="str">
        <f>G949</f>
        <v>Speeds, Mbps</v>
      </c>
    </row>
    <row r="957" spans="2:7">
      <c r="C957">
        <v>18193</v>
      </c>
      <c r="D957">
        <v>700</v>
      </c>
      <c r="E957">
        <v>2000</v>
      </c>
      <c r="F957">
        <v>2</v>
      </c>
      <c r="G957" s="178" t="s">
        <v>1632</v>
      </c>
    </row>
    <row r="958" spans="2:7">
      <c r="C958" s="401">
        <v>25990</v>
      </c>
    </row>
    <row r="960" spans="2:7">
      <c r="C960">
        <v>25990</v>
      </c>
      <c r="D960" t="s">
        <v>1633</v>
      </c>
      <c r="E960">
        <v>2000</v>
      </c>
      <c r="F960">
        <v>3</v>
      </c>
      <c r="G960" s="178" t="s">
        <v>1632</v>
      </c>
    </row>
    <row r="961" spans="1:18">
      <c r="C961">
        <v>39990</v>
      </c>
      <c r="D961" t="s">
        <v>1633</v>
      </c>
      <c r="E961">
        <v>2000</v>
      </c>
      <c r="F961">
        <v>4.5</v>
      </c>
      <c r="G961" s="178" t="s">
        <v>1632</v>
      </c>
    </row>
    <row r="963" spans="1:18">
      <c r="B963" s="306" t="s">
        <v>889</v>
      </c>
    </row>
    <row r="965" spans="1:18">
      <c r="B965" s="2" t="s">
        <v>588</v>
      </c>
      <c r="C965" s="2">
        <v>2012</v>
      </c>
      <c r="D965" s="2">
        <f>C965+1</f>
        <v>2013</v>
      </c>
      <c r="E965" s="2">
        <f>D965+1</f>
        <v>2014</v>
      </c>
      <c r="F965" s="2">
        <f>E965+1</f>
        <v>2015</v>
      </c>
      <c r="G965" s="150" t="s">
        <v>1755</v>
      </c>
    </row>
    <row r="966" spans="1:18">
      <c r="B966" s="3" t="s">
        <v>100</v>
      </c>
      <c r="C966" s="87">
        <f>'Master old'!N302</f>
        <v>167294</v>
      </c>
      <c r="D966" s="87">
        <f>'Master old'!O302</f>
        <v>141587</v>
      </c>
      <c r="E966" s="87">
        <f>'Master old'!P302</f>
        <v>56471</v>
      </c>
      <c r="F966" s="87">
        <v>-1102</v>
      </c>
      <c r="G966" s="87">
        <f>SUM(Interims!AM194:AO194)</f>
        <v>42223</v>
      </c>
    </row>
    <row r="967" spans="1:18">
      <c r="B967" s="3" t="s">
        <v>1752</v>
      </c>
      <c r="C967" s="5">
        <v>0.8</v>
      </c>
      <c r="D967" s="5">
        <v>0.5</v>
      </c>
      <c r="E967" s="5">
        <v>0.5</v>
      </c>
      <c r="F967" s="5">
        <v>0.5</v>
      </c>
      <c r="G967" s="5">
        <v>0.5</v>
      </c>
      <c r="H967" s="57"/>
    </row>
    <row r="968" spans="1:18">
      <c r="B968" s="3" t="s">
        <v>1753</v>
      </c>
      <c r="C968" s="87">
        <f>C967*C966</f>
        <v>133835.20000000001</v>
      </c>
      <c r="D968" s="87">
        <f>D967*D966</f>
        <v>70793.5</v>
      </c>
      <c r="E968" s="87">
        <f>E967*E966</f>
        <v>28235.5</v>
      </c>
      <c r="F968" s="87">
        <v>0</v>
      </c>
      <c r="G968" s="87">
        <f>G967*G966</f>
        <v>21111.5</v>
      </c>
    </row>
    <row r="969" spans="1:18">
      <c r="B969" s="3" t="s">
        <v>1754</v>
      </c>
      <c r="C969" s="3"/>
      <c r="D969" s="3"/>
      <c r="E969" s="3"/>
      <c r="F969" s="3"/>
      <c r="G969" s="8">
        <f>G968/Valuation!L8</f>
        <v>2.2762042600947389E-2</v>
      </c>
    </row>
    <row r="971" spans="1:18">
      <c r="B971" s="306" t="s">
        <v>1943</v>
      </c>
    </row>
    <row r="973" spans="1:18">
      <c r="B973" s="249" t="s">
        <v>1936</v>
      </c>
    </row>
    <row r="975" spans="1:18">
      <c r="A975">
        <v>3.2</v>
      </c>
      <c r="B975" s="108" t="s">
        <v>1634</v>
      </c>
      <c r="C975" s="141" t="s">
        <v>1935</v>
      </c>
      <c r="D975" s="108" t="s">
        <v>1934</v>
      </c>
      <c r="E975" s="108" t="s">
        <v>1938</v>
      </c>
      <c r="F975" s="108" t="s">
        <v>1920</v>
      </c>
      <c r="G975" s="108" t="s">
        <v>1628</v>
      </c>
      <c r="H975" s="108" t="s">
        <v>1921</v>
      </c>
      <c r="I975" s="108" t="s">
        <v>1922</v>
      </c>
      <c r="J975" s="108" t="s">
        <v>1923</v>
      </c>
      <c r="K975" s="108" t="s">
        <v>1924</v>
      </c>
      <c r="L975" s="108" t="s">
        <v>1925</v>
      </c>
      <c r="M975" s="108" t="s">
        <v>1927</v>
      </c>
      <c r="N975" s="108" t="s">
        <v>1928</v>
      </c>
      <c r="O975" s="108" t="s">
        <v>1929</v>
      </c>
      <c r="P975" s="108" t="s">
        <v>1933</v>
      </c>
      <c r="Q975" s="108" t="s">
        <v>1930</v>
      </c>
      <c r="R975" s="108" t="s">
        <v>1931</v>
      </c>
    </row>
    <row r="976" spans="1:18">
      <c r="B976" s="148">
        <v>29</v>
      </c>
      <c r="C976" s="15">
        <f t="shared" ref="C976:C990" si="78">B976/$A$975</f>
        <v>9.0625</v>
      </c>
      <c r="E976">
        <v>1</v>
      </c>
      <c r="F976">
        <v>200</v>
      </c>
      <c r="G976">
        <v>500</v>
      </c>
      <c r="I976" t="s">
        <v>1926</v>
      </c>
      <c r="J976" t="s">
        <v>1926</v>
      </c>
      <c r="K976" t="s">
        <v>1926</v>
      </c>
      <c r="L976" t="s">
        <v>1926</v>
      </c>
    </row>
    <row r="977" spans="2:18">
      <c r="B977" s="148">
        <v>39</v>
      </c>
      <c r="C977" s="15">
        <f t="shared" si="78"/>
        <v>12.1875</v>
      </c>
      <c r="E977">
        <v>1.5</v>
      </c>
      <c r="F977">
        <v>400</v>
      </c>
      <c r="G977">
        <v>500</v>
      </c>
      <c r="I977" t="s">
        <v>1926</v>
      </c>
      <c r="J977" t="s">
        <v>1926</v>
      </c>
      <c r="K977" t="s">
        <v>1926</v>
      </c>
      <c r="L977" t="s">
        <v>1926</v>
      </c>
    </row>
    <row r="978" spans="2:18">
      <c r="B978" s="148">
        <v>49</v>
      </c>
      <c r="C978" s="15">
        <f t="shared" si="78"/>
        <v>15.3125</v>
      </c>
      <c r="D978" t="s">
        <v>1926</v>
      </c>
      <c r="E978">
        <v>1.5</v>
      </c>
      <c r="F978">
        <v>400</v>
      </c>
      <c r="G978">
        <v>500</v>
      </c>
      <c r="I978" t="s">
        <v>1926</v>
      </c>
      <c r="J978" t="s">
        <v>1926</v>
      </c>
      <c r="K978" t="s">
        <v>1926</v>
      </c>
      <c r="L978" t="s">
        <v>1926</v>
      </c>
    </row>
    <row r="979" spans="2:18">
      <c r="B979" s="148">
        <v>45</v>
      </c>
      <c r="C979" s="15">
        <f t="shared" si="78"/>
        <v>14.0625</v>
      </c>
      <c r="E979">
        <v>2</v>
      </c>
      <c r="F979">
        <v>400</v>
      </c>
      <c r="G979">
        <v>500</v>
      </c>
      <c r="I979" t="s">
        <v>1926</v>
      </c>
      <c r="J979" t="s">
        <v>1926</v>
      </c>
      <c r="K979" t="s">
        <v>1926</v>
      </c>
      <c r="L979" t="s">
        <v>1926</v>
      </c>
    </row>
    <row r="980" spans="2:18">
      <c r="B980" s="148">
        <v>59</v>
      </c>
      <c r="C980" s="15">
        <f t="shared" si="78"/>
        <v>18.4375</v>
      </c>
      <c r="E980">
        <v>3</v>
      </c>
      <c r="F980">
        <v>800</v>
      </c>
      <c r="G980">
        <v>500</v>
      </c>
      <c r="I980" t="s">
        <v>1926</v>
      </c>
      <c r="J980" t="s">
        <v>1926</v>
      </c>
      <c r="K980" t="s">
        <v>1926</v>
      </c>
      <c r="L980" t="s">
        <v>1926</v>
      </c>
      <c r="M980" t="s">
        <v>1926</v>
      </c>
      <c r="N980" t="s">
        <v>1926</v>
      </c>
      <c r="O980" t="s">
        <v>1926</v>
      </c>
      <c r="P980" t="s">
        <v>1926</v>
      </c>
      <c r="Q980" t="s">
        <v>1926</v>
      </c>
    </row>
    <row r="981" spans="2:18">
      <c r="B981" s="148">
        <v>75</v>
      </c>
      <c r="C981" s="15">
        <f t="shared" si="78"/>
        <v>23.4375</v>
      </c>
      <c r="D981" t="s">
        <v>1926</v>
      </c>
      <c r="E981">
        <v>3</v>
      </c>
      <c r="F981">
        <v>800</v>
      </c>
      <c r="G981">
        <v>500</v>
      </c>
      <c r="I981" t="s">
        <v>1926</v>
      </c>
      <c r="J981" t="s">
        <v>1926</v>
      </c>
      <c r="K981" t="s">
        <v>1926</v>
      </c>
      <c r="L981" t="s">
        <v>1926</v>
      </c>
      <c r="M981" t="s">
        <v>1926</v>
      </c>
      <c r="N981" t="s">
        <v>1926</v>
      </c>
      <c r="O981" t="s">
        <v>1926</v>
      </c>
      <c r="P981" t="s">
        <v>1926</v>
      </c>
      <c r="Q981" t="s">
        <v>1926</v>
      </c>
    </row>
    <row r="982" spans="2:18">
      <c r="B982" s="148">
        <v>74</v>
      </c>
      <c r="C982" s="15">
        <f t="shared" si="78"/>
        <v>23.125</v>
      </c>
      <c r="E982">
        <v>5</v>
      </c>
      <c r="F982" t="s">
        <v>1932</v>
      </c>
      <c r="G982">
        <v>500</v>
      </c>
      <c r="I982" t="s">
        <v>1926</v>
      </c>
      <c r="J982" t="s">
        <v>1926</v>
      </c>
      <c r="K982" t="s">
        <v>1926</v>
      </c>
      <c r="L982" t="s">
        <v>1926</v>
      </c>
      <c r="M982" t="s">
        <v>1926</v>
      </c>
      <c r="N982" t="s">
        <v>1926</v>
      </c>
      <c r="O982" t="s">
        <v>1926</v>
      </c>
      <c r="P982" t="s">
        <v>1926</v>
      </c>
      <c r="Q982" t="s">
        <v>1926</v>
      </c>
    </row>
    <row r="983" spans="2:18">
      <c r="B983" s="148">
        <v>99</v>
      </c>
      <c r="C983" s="15">
        <f t="shared" si="78"/>
        <v>30.9375</v>
      </c>
      <c r="D983" t="s">
        <v>1926</v>
      </c>
      <c r="E983">
        <v>5</v>
      </c>
      <c r="F983" t="s">
        <v>1932</v>
      </c>
      <c r="G983">
        <v>500</v>
      </c>
      <c r="I983" t="s">
        <v>1926</v>
      </c>
      <c r="J983" t="s">
        <v>1926</v>
      </c>
      <c r="K983" t="s">
        <v>1926</v>
      </c>
      <c r="L983" t="s">
        <v>1926</v>
      </c>
      <c r="M983" t="s">
        <v>1926</v>
      </c>
      <c r="N983" t="s">
        <v>1926</v>
      </c>
      <c r="O983" t="s">
        <v>1926</v>
      </c>
      <c r="P983" t="s">
        <v>1926</v>
      </c>
      <c r="Q983" t="s">
        <v>1926</v>
      </c>
    </row>
    <row r="984" spans="2:18">
      <c r="B984" s="148">
        <v>89</v>
      </c>
      <c r="C984" s="15">
        <f t="shared" si="78"/>
        <v>27.8125</v>
      </c>
      <c r="E984">
        <v>6</v>
      </c>
      <c r="F984" t="s">
        <v>1932</v>
      </c>
      <c r="G984" t="s">
        <v>1932</v>
      </c>
      <c r="I984" t="s">
        <v>1926</v>
      </c>
      <c r="J984" t="s">
        <v>1926</v>
      </c>
      <c r="K984" t="s">
        <v>1926</v>
      </c>
      <c r="L984" t="s">
        <v>1926</v>
      </c>
      <c r="M984" t="s">
        <v>1926</v>
      </c>
      <c r="N984" t="s">
        <v>1926</v>
      </c>
      <c r="O984" t="s">
        <v>1926</v>
      </c>
      <c r="P984" t="s">
        <v>1926</v>
      </c>
      <c r="Q984" t="s">
        <v>1926</v>
      </c>
    </row>
    <row r="985" spans="2:18">
      <c r="B985" s="148">
        <v>149</v>
      </c>
      <c r="C985" s="15">
        <f t="shared" si="78"/>
        <v>46.5625</v>
      </c>
      <c r="D985" t="s">
        <v>1926</v>
      </c>
      <c r="E985">
        <v>8</v>
      </c>
      <c r="F985" t="s">
        <v>1932</v>
      </c>
      <c r="G985" t="s">
        <v>1932</v>
      </c>
      <c r="I985" t="s">
        <v>1926</v>
      </c>
      <c r="J985" t="s">
        <v>1926</v>
      </c>
      <c r="K985" t="s">
        <v>1926</v>
      </c>
      <c r="L985" t="s">
        <v>1926</v>
      </c>
      <c r="M985" t="s">
        <v>1926</v>
      </c>
      <c r="N985" t="s">
        <v>1926</v>
      </c>
      <c r="O985" t="s">
        <v>1926</v>
      </c>
      <c r="P985" t="s">
        <v>1926</v>
      </c>
      <c r="Q985" t="s">
        <v>1926</v>
      </c>
    </row>
    <row r="986" spans="2:18">
      <c r="B986" s="148">
        <v>109</v>
      </c>
      <c r="C986" s="15">
        <f t="shared" si="78"/>
        <v>34.0625</v>
      </c>
      <c r="E986">
        <v>8</v>
      </c>
      <c r="F986" t="s">
        <v>1932</v>
      </c>
      <c r="G986" t="s">
        <v>1932</v>
      </c>
      <c r="I986" t="s">
        <v>1926</v>
      </c>
      <c r="J986" t="s">
        <v>1926</v>
      </c>
      <c r="K986" t="s">
        <v>1926</v>
      </c>
      <c r="L986" t="s">
        <v>1926</v>
      </c>
      <c r="M986" t="s">
        <v>1926</v>
      </c>
      <c r="N986" t="s">
        <v>1926</v>
      </c>
      <c r="O986" t="s">
        <v>1926</v>
      </c>
      <c r="P986" t="s">
        <v>1926</v>
      </c>
      <c r="Q986" t="s">
        <v>1926</v>
      </c>
    </row>
    <row r="987" spans="2:18">
      <c r="B987" s="148">
        <v>159</v>
      </c>
      <c r="C987" s="15">
        <f t="shared" si="78"/>
        <v>49.6875</v>
      </c>
      <c r="D987" t="s">
        <v>1926</v>
      </c>
      <c r="E987">
        <v>6</v>
      </c>
      <c r="F987" t="s">
        <v>1932</v>
      </c>
      <c r="G987" t="s">
        <v>1932</v>
      </c>
      <c r="I987" t="s">
        <v>1926</v>
      </c>
      <c r="J987" t="s">
        <v>1926</v>
      </c>
      <c r="K987" t="s">
        <v>1926</v>
      </c>
      <c r="L987" t="s">
        <v>1926</v>
      </c>
      <c r="M987" t="s">
        <v>1926</v>
      </c>
      <c r="N987" t="s">
        <v>1926</v>
      </c>
      <c r="O987" t="s">
        <v>1926</v>
      </c>
      <c r="P987" t="s">
        <v>1926</v>
      </c>
      <c r="Q987" t="s">
        <v>1926</v>
      </c>
      <c r="R987" t="s">
        <v>1926</v>
      </c>
    </row>
    <row r="988" spans="2:18">
      <c r="B988" s="148">
        <v>119</v>
      </c>
      <c r="C988" s="15">
        <f t="shared" si="78"/>
        <v>37.1875</v>
      </c>
      <c r="E988">
        <v>6</v>
      </c>
      <c r="F988" t="s">
        <v>1932</v>
      </c>
      <c r="G988" t="s">
        <v>1932</v>
      </c>
      <c r="I988" t="s">
        <v>1926</v>
      </c>
      <c r="J988" t="s">
        <v>1926</v>
      </c>
      <c r="K988" t="s">
        <v>1926</v>
      </c>
      <c r="L988" t="s">
        <v>1926</v>
      </c>
      <c r="M988" t="s">
        <v>1926</v>
      </c>
      <c r="N988" t="s">
        <v>1926</v>
      </c>
      <c r="O988" t="s">
        <v>1926</v>
      </c>
      <c r="P988" t="s">
        <v>1926</v>
      </c>
      <c r="Q988" t="s">
        <v>1926</v>
      </c>
      <c r="R988" t="s">
        <v>1926</v>
      </c>
    </row>
    <row r="989" spans="2:18">
      <c r="B989" s="148">
        <v>209</v>
      </c>
      <c r="C989" s="15">
        <f t="shared" si="78"/>
        <v>65.3125</v>
      </c>
      <c r="D989" t="s">
        <v>1926</v>
      </c>
      <c r="E989">
        <v>12</v>
      </c>
      <c r="F989" t="s">
        <v>1932</v>
      </c>
      <c r="G989" t="s">
        <v>1932</v>
      </c>
      <c r="I989" t="s">
        <v>1926</v>
      </c>
      <c r="J989" t="s">
        <v>1926</v>
      </c>
      <c r="K989" t="s">
        <v>1926</v>
      </c>
      <c r="L989" t="s">
        <v>1926</v>
      </c>
      <c r="M989" t="s">
        <v>1926</v>
      </c>
      <c r="N989" t="s">
        <v>1926</v>
      </c>
      <c r="O989" t="s">
        <v>1926</v>
      </c>
      <c r="P989" t="s">
        <v>1926</v>
      </c>
      <c r="Q989" t="s">
        <v>1926</v>
      </c>
      <c r="R989" t="s">
        <v>1926</v>
      </c>
    </row>
    <row r="990" spans="2:18">
      <c r="B990" s="148">
        <v>155</v>
      </c>
      <c r="C990" s="15">
        <f t="shared" si="78"/>
        <v>48.4375</v>
      </c>
      <c r="E990">
        <v>12</v>
      </c>
      <c r="F990" t="s">
        <v>1932</v>
      </c>
      <c r="G990" t="s">
        <v>1932</v>
      </c>
      <c r="I990" t="s">
        <v>1926</v>
      </c>
      <c r="J990" t="s">
        <v>1926</v>
      </c>
      <c r="K990" t="s">
        <v>1926</v>
      </c>
      <c r="L990" t="s">
        <v>1926</v>
      </c>
      <c r="M990" t="s">
        <v>1926</v>
      </c>
      <c r="N990" t="s">
        <v>1926</v>
      </c>
      <c r="O990" t="s">
        <v>1926</v>
      </c>
      <c r="P990" t="s">
        <v>1926</v>
      </c>
      <c r="Q990" t="s">
        <v>1926</v>
      </c>
      <c r="R990" t="s">
        <v>1926</v>
      </c>
    </row>
    <row r="992" spans="2:18">
      <c r="B992" s="249" t="s">
        <v>1937</v>
      </c>
    </row>
    <row r="994" spans="1:18">
      <c r="B994" s="108" t="str">
        <f>B975</f>
        <v>Price</v>
      </c>
      <c r="C994" s="108" t="str">
        <f>C975</f>
        <v>US$</v>
      </c>
      <c r="D994" s="108" t="s">
        <v>1940</v>
      </c>
      <c r="E994" s="108" t="s">
        <v>1939</v>
      </c>
      <c r="F994" s="108" t="str">
        <f t="shared" ref="F994:R994" si="79">F975</f>
        <v>Mins</v>
      </c>
      <c r="G994" s="108" t="str">
        <f t="shared" si="79"/>
        <v>SMS</v>
      </c>
      <c r="H994" s="108" t="str">
        <f t="shared" si="79"/>
        <v>Apps</v>
      </c>
      <c r="I994" s="108" t="str">
        <f t="shared" si="79"/>
        <v>WhatsApp</v>
      </c>
      <c r="J994" s="108" t="str">
        <f t="shared" si="79"/>
        <v>Facebook Basic</v>
      </c>
      <c r="K994" s="108" t="str">
        <f t="shared" si="79"/>
        <v>Messenger</v>
      </c>
      <c r="L994" s="108" t="str">
        <f t="shared" si="79"/>
        <v>Waze</v>
      </c>
      <c r="M994" s="108" t="str">
        <f t="shared" si="79"/>
        <v>Facebook fotos</v>
      </c>
      <c r="N994" s="108" t="str">
        <f t="shared" si="79"/>
        <v>Instagram</v>
      </c>
      <c r="O994" s="108" t="str">
        <f t="shared" si="79"/>
        <v>Spotify</v>
      </c>
      <c r="P994" s="108" t="str">
        <f t="shared" si="79"/>
        <v>Soundcloud</v>
      </c>
      <c r="Q994" s="108" t="str">
        <f t="shared" si="79"/>
        <v>Apple Music</v>
      </c>
      <c r="R994" s="108" t="str">
        <f t="shared" si="79"/>
        <v>You tube</v>
      </c>
    </row>
    <row r="995" spans="1:18">
      <c r="B995" s="148">
        <v>3</v>
      </c>
      <c r="C995" s="164">
        <f>B995/$A$975</f>
        <v>0.9375</v>
      </c>
      <c r="D995">
        <v>1</v>
      </c>
      <c r="E995">
        <v>0</v>
      </c>
      <c r="F995" t="s">
        <v>1932</v>
      </c>
      <c r="G995" t="s">
        <v>1932</v>
      </c>
      <c r="I995" t="s">
        <v>1926</v>
      </c>
      <c r="J995" t="s">
        <v>1926</v>
      </c>
      <c r="K995" t="s">
        <v>1926</v>
      </c>
      <c r="N995" t="s">
        <v>1926</v>
      </c>
      <c r="O995" t="s">
        <v>1926</v>
      </c>
      <c r="P995" t="s">
        <v>1926</v>
      </c>
      <c r="Q995" t="s">
        <v>1926</v>
      </c>
    </row>
    <row r="996" spans="1:18">
      <c r="B996" s="148">
        <v>5</v>
      </c>
      <c r="C996" s="164">
        <f>B996/$A$975</f>
        <v>1.5625</v>
      </c>
      <c r="D996">
        <v>3</v>
      </c>
      <c r="E996">
        <v>50</v>
      </c>
      <c r="F996" t="s">
        <v>1932</v>
      </c>
      <c r="G996" t="s">
        <v>1932</v>
      </c>
      <c r="I996" t="s">
        <v>1941</v>
      </c>
      <c r="J996" t="s">
        <v>1926</v>
      </c>
      <c r="K996" t="s">
        <v>1941</v>
      </c>
      <c r="N996" t="s">
        <v>1926</v>
      </c>
      <c r="O996" t="s">
        <v>1926</v>
      </c>
      <c r="P996" t="s">
        <v>1926</v>
      </c>
      <c r="Q996" t="s">
        <v>1926</v>
      </c>
    </row>
    <row r="997" spans="1:18">
      <c r="B997" s="148">
        <v>10</v>
      </c>
      <c r="C997" s="164">
        <f>B997/$A$975</f>
        <v>3.125</v>
      </c>
      <c r="D997">
        <v>7</v>
      </c>
      <c r="E997">
        <v>150</v>
      </c>
      <c r="F997" t="s">
        <v>1932</v>
      </c>
      <c r="G997" t="s">
        <v>1932</v>
      </c>
      <c r="I997" t="s">
        <v>1941</v>
      </c>
      <c r="J997" t="s">
        <v>1926</v>
      </c>
      <c r="K997" t="s">
        <v>1941</v>
      </c>
      <c r="N997" t="s">
        <v>1926</v>
      </c>
      <c r="O997" t="s">
        <v>1926</v>
      </c>
      <c r="P997" t="s">
        <v>1926</v>
      </c>
      <c r="Q997" t="s">
        <v>1926</v>
      </c>
    </row>
    <row r="998" spans="1:18">
      <c r="C998" s="164"/>
    </row>
    <row r="999" spans="1:18">
      <c r="B999" s="417">
        <v>5</v>
      </c>
      <c r="C999" s="164">
        <f>B999/$A$975</f>
        <v>1.5625</v>
      </c>
      <c r="E999">
        <v>50</v>
      </c>
      <c r="F999" t="s">
        <v>1932</v>
      </c>
      <c r="G999" t="s">
        <v>1932</v>
      </c>
      <c r="I999" t="s">
        <v>1926</v>
      </c>
      <c r="K999" t="s">
        <v>1926</v>
      </c>
      <c r="M999" t="s">
        <v>1926</v>
      </c>
      <c r="N999" t="s">
        <v>1926</v>
      </c>
      <c r="P999" t="s">
        <v>1926</v>
      </c>
      <c r="Q999" t="s">
        <v>1926</v>
      </c>
    </row>
    <row r="1000" spans="1:18">
      <c r="B1000" t="s">
        <v>1942</v>
      </c>
    </row>
    <row r="1002" spans="1:18">
      <c r="B1002" s="306" t="s">
        <v>1944</v>
      </c>
    </row>
    <row r="1004" spans="1:18">
      <c r="A1004">
        <v>623</v>
      </c>
      <c r="B1004" s="108" t="str">
        <f t="shared" ref="B1004:I1004" si="80">B975</f>
        <v>Price</v>
      </c>
      <c r="C1004" s="108" t="str">
        <f t="shared" si="80"/>
        <v>US$</v>
      </c>
      <c r="D1004" s="108" t="str">
        <f t="shared" si="80"/>
        <v>Subsidy</v>
      </c>
      <c r="E1004" s="108" t="str">
        <f t="shared" si="80"/>
        <v>Data, GB</v>
      </c>
      <c r="F1004" s="108" t="str">
        <f t="shared" si="80"/>
        <v>Mins</v>
      </c>
      <c r="G1004" s="108" t="str">
        <f t="shared" si="80"/>
        <v>SMS</v>
      </c>
      <c r="H1004" s="108" t="str">
        <f t="shared" si="80"/>
        <v>Apps</v>
      </c>
      <c r="I1004" s="108" t="str">
        <f t="shared" si="80"/>
        <v>WhatsApp</v>
      </c>
      <c r="J1004" s="108" t="s">
        <v>1945</v>
      </c>
      <c r="K1004" s="108" t="str">
        <f>K975</f>
        <v>Messenger</v>
      </c>
      <c r="L1004" s="108" t="str">
        <f>L975</f>
        <v>Waze</v>
      </c>
      <c r="M1004" s="108" t="s">
        <v>1946</v>
      </c>
      <c r="N1004" s="108" t="str">
        <f>N975</f>
        <v>Instagram</v>
      </c>
      <c r="O1004" s="108" t="str">
        <f>O975</f>
        <v>Spotify</v>
      </c>
      <c r="P1004" s="108" t="str">
        <f>P975</f>
        <v>Soundcloud</v>
      </c>
      <c r="Q1004" s="108" t="str">
        <f>Q975</f>
        <v>Apple Music</v>
      </c>
      <c r="R1004" s="108" t="str">
        <f>R975</f>
        <v>You tube</v>
      </c>
    </row>
    <row r="1005" spans="1:18">
      <c r="B1005" s="148">
        <v>23.9</v>
      </c>
      <c r="C1005" s="15">
        <f>B1005*1000/$A$1004</f>
        <v>38.362760834670944</v>
      </c>
      <c r="E1005">
        <v>25</v>
      </c>
      <c r="F1005" t="s">
        <v>1932</v>
      </c>
      <c r="G1005">
        <v>1000</v>
      </c>
      <c r="I1005" t="s">
        <v>1926</v>
      </c>
      <c r="J1005" t="s">
        <v>1926</v>
      </c>
      <c r="K1005" t="s">
        <v>1926</v>
      </c>
      <c r="M1005" t="s">
        <v>1926</v>
      </c>
      <c r="N1005" t="s">
        <v>1926</v>
      </c>
      <c r="O1005" t="s">
        <v>1926</v>
      </c>
    </row>
    <row r="1006" spans="1:18">
      <c r="B1006" s="417">
        <v>29.690999999999999</v>
      </c>
      <c r="C1006" s="15">
        <f>B1006*1000/$A$1004</f>
        <v>47.658105939004813</v>
      </c>
      <c r="E1006" t="s">
        <v>1932</v>
      </c>
      <c r="F1006" t="s">
        <v>1932</v>
      </c>
      <c r="G1006" t="s">
        <v>1932</v>
      </c>
    </row>
    <row r="1007" spans="1:18">
      <c r="B1007" s="148">
        <v>35.9</v>
      </c>
      <c r="C1007" s="15">
        <f>B1007*1000/$A$1004</f>
        <v>57.624398073836275</v>
      </c>
      <c r="E1007" t="s">
        <v>1932</v>
      </c>
      <c r="F1007" t="s">
        <v>1932</v>
      </c>
      <c r="G1007" t="s">
        <v>1932</v>
      </c>
    </row>
    <row r="1010" spans="2:13">
      <c r="B1010" s="381" t="s">
        <v>2423</v>
      </c>
    </row>
    <row r="1012" spans="2:13">
      <c r="B1012" s="108" t="s">
        <v>1058</v>
      </c>
      <c r="C1012" s="108">
        <v>2014</v>
      </c>
      <c r="D1012" s="108">
        <f>C1012+1</f>
        <v>2015</v>
      </c>
      <c r="E1012" s="108">
        <f>D1012+1</f>
        <v>2016</v>
      </c>
      <c r="F1012" s="108">
        <f>E1012+1</f>
        <v>2017</v>
      </c>
      <c r="G1012" s="108">
        <f>F1012+1</f>
        <v>2018</v>
      </c>
    </row>
    <row r="1013" spans="2:13">
      <c r="B1013" t="s">
        <v>177</v>
      </c>
      <c r="C1013" s="15">
        <f>Peru!P40</f>
        <v>-471.80385288966727</v>
      </c>
      <c r="D1013" s="15">
        <f>Peru!Q40</f>
        <v>-497.31963470319636</v>
      </c>
      <c r="E1013" s="15">
        <f>Peru!R40</f>
        <v>-334.71745562130172</v>
      </c>
      <c r="F1013" s="15">
        <f>Peru!S40</f>
        <v>-277.10015408320493</v>
      </c>
      <c r="G1013" s="15">
        <f>Peru!T40</f>
        <v>-244.53428400988548</v>
      </c>
    </row>
    <row r="1015" spans="2:13">
      <c r="B1015" t="s">
        <v>2473</v>
      </c>
    </row>
    <row r="1017" spans="2:13">
      <c r="B1017" s="2" t="s">
        <v>790</v>
      </c>
      <c r="C1017" s="2">
        <f>D1017-1</f>
        <v>2013</v>
      </c>
      <c r="D1017" s="2">
        <v>2014</v>
      </c>
      <c r="E1017" s="2">
        <f t="shared" ref="E1017:M1017" si="81">D1017+1</f>
        <v>2015</v>
      </c>
      <c r="F1017" s="2">
        <f t="shared" si="81"/>
        <v>2016</v>
      </c>
      <c r="G1017" s="2">
        <f t="shared" si="81"/>
        <v>2017</v>
      </c>
      <c r="H1017" s="2">
        <f t="shared" si="81"/>
        <v>2018</v>
      </c>
      <c r="I1017" s="2">
        <f t="shared" si="81"/>
        <v>2019</v>
      </c>
      <c r="J1017" s="2">
        <f t="shared" si="81"/>
        <v>2020</v>
      </c>
      <c r="K1017" s="2">
        <f t="shared" si="81"/>
        <v>2021</v>
      </c>
      <c r="L1017" s="2">
        <f t="shared" si="81"/>
        <v>2022</v>
      </c>
      <c r="M1017" s="2">
        <f t="shared" si="81"/>
        <v>2023</v>
      </c>
    </row>
    <row r="1018" spans="2:13">
      <c r="B1018" s="3" t="s">
        <v>2475</v>
      </c>
      <c r="C1018" s="87">
        <v>401</v>
      </c>
      <c r="D1018" s="87"/>
      <c r="E1018" s="87"/>
      <c r="F1018" s="87"/>
      <c r="G1018" s="87"/>
      <c r="H1018" s="87"/>
      <c r="I1018" s="87"/>
      <c r="J1018" s="87"/>
      <c r="K1018" s="87"/>
      <c r="L1018" s="87"/>
      <c r="M1018" s="87"/>
    </row>
    <row r="1019" spans="2:13">
      <c r="B1019" s="3" t="s">
        <v>2476</v>
      </c>
      <c r="C1019" s="87">
        <v>105</v>
      </c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</row>
    <row r="1020" spans="2:13">
      <c r="B1020" s="3" t="s">
        <v>2477</v>
      </c>
      <c r="C1020" s="87"/>
      <c r="D1020" s="87"/>
      <c r="E1020" s="87"/>
      <c r="F1020" s="87">
        <v>290</v>
      </c>
      <c r="G1020" s="87"/>
      <c r="H1020" s="87"/>
      <c r="I1020" s="87"/>
      <c r="J1020" s="87"/>
      <c r="K1020" s="87"/>
      <c r="L1020" s="87"/>
      <c r="M1020" s="87"/>
    </row>
    <row r="1021" spans="2:13">
      <c r="B1021" s="3" t="s">
        <v>2817</v>
      </c>
      <c r="C1021" s="87">
        <f>-Peru!O38*4/12</f>
        <v>10.61830807377072</v>
      </c>
      <c r="D1021" s="87">
        <f>-Peru!P38</f>
        <v>191.80385288966724</v>
      </c>
      <c r="E1021" s="87">
        <f>-Peru!Q38</f>
        <v>257.31963470319636</v>
      </c>
      <c r="F1021" s="87">
        <f>-Peru!R38</f>
        <v>179.71745562130175</v>
      </c>
      <c r="G1021" s="87">
        <f>-Peru!S38</f>
        <v>117.10015408320494</v>
      </c>
      <c r="H1021" s="87">
        <f>-Peru!T38</f>
        <v>82.822429906542055</v>
      </c>
      <c r="I1021" s="87">
        <f>-Master!E167/Master!E175</f>
        <v>0.55405405405405406</v>
      </c>
      <c r="J1021" s="87">
        <f>-Master!F167/Master!F175</f>
        <v>-37.942083781171966</v>
      </c>
      <c r="K1021" s="87">
        <f>-Master!G167/Master!G175</f>
        <v>-87.654791634979006</v>
      </c>
      <c r="L1021" s="87">
        <f>-Master!H167/Master!H175</f>
        <v>-119.19549940411214</v>
      </c>
      <c r="M1021" s="87">
        <f>-Master!I167/Master!I175</f>
        <v>-145.05871700596859</v>
      </c>
    </row>
    <row r="1022" spans="2:13">
      <c r="B1022" s="2" t="s">
        <v>137</v>
      </c>
      <c r="C1022" s="379">
        <f>Peru!O39*4/12</f>
        <v>55.713777777777786</v>
      </c>
      <c r="D1022" s="379">
        <f>Peru!P39</f>
        <v>280</v>
      </c>
      <c r="E1022" s="379">
        <f>Peru!Q39</f>
        <v>240</v>
      </c>
      <c r="F1022" s="379">
        <f>Peru!R39</f>
        <v>155</v>
      </c>
      <c r="G1022" s="379">
        <f>Peru!S39</f>
        <v>159.99999999999997</v>
      </c>
      <c r="H1022" s="379">
        <f>Peru!T39</f>
        <v>161.71185410334343</v>
      </c>
      <c r="I1022" s="379">
        <f>Master!E48</f>
        <v>177.21584352773829</v>
      </c>
      <c r="J1022" s="379">
        <f>Master!F48</f>
        <v>121.83712121212122</v>
      </c>
      <c r="K1022" s="379">
        <f>Master!G48</f>
        <v>121.57950065703022</v>
      </c>
      <c r="L1022" s="379">
        <f>Master!H48</f>
        <v>140.12142038946163</v>
      </c>
      <c r="M1022" s="379">
        <f>Master!I48</f>
        <v>159.60833333333332</v>
      </c>
    </row>
    <row r="1023" spans="2:13">
      <c r="B1023" s="3" t="s">
        <v>2474</v>
      </c>
      <c r="C1023" s="87">
        <f t="shared" ref="C1023:M1023" si="82">SUM(C1018:C1022)</f>
        <v>572.33208585154853</v>
      </c>
      <c r="D1023" s="87">
        <f t="shared" si="82"/>
        <v>471.80385288966727</v>
      </c>
      <c r="E1023" s="87">
        <f t="shared" si="82"/>
        <v>497.31963470319636</v>
      </c>
      <c r="F1023" s="87">
        <f t="shared" si="82"/>
        <v>624.71745562130172</v>
      </c>
      <c r="G1023" s="87">
        <f t="shared" si="82"/>
        <v>277.10015408320493</v>
      </c>
      <c r="H1023" s="87">
        <f t="shared" si="82"/>
        <v>244.53428400988548</v>
      </c>
      <c r="I1023" s="87">
        <f t="shared" si="82"/>
        <v>177.76989758179235</v>
      </c>
      <c r="J1023" s="87">
        <f t="shared" si="82"/>
        <v>83.895037430949259</v>
      </c>
      <c r="K1023" s="87">
        <f t="shared" si="82"/>
        <v>33.924709022051218</v>
      </c>
      <c r="L1023" s="87">
        <f t="shared" si="82"/>
        <v>20.925920985349492</v>
      </c>
      <c r="M1023" s="87">
        <f t="shared" si="82"/>
        <v>14.549616327364731</v>
      </c>
    </row>
    <row r="1024" spans="2:13">
      <c r="B1024" s="3" t="s">
        <v>2818</v>
      </c>
      <c r="C1024" s="87">
        <f>C1023</f>
        <v>572.33208585154853</v>
      </c>
      <c r="D1024" s="87">
        <f t="shared" ref="D1024:M1024" si="83">C1024+D1023</f>
        <v>1044.1359387412158</v>
      </c>
      <c r="E1024" s="87">
        <f t="shared" si="83"/>
        <v>1541.455573444412</v>
      </c>
      <c r="F1024" s="87">
        <f t="shared" si="83"/>
        <v>2166.1730290657138</v>
      </c>
      <c r="G1024" s="87">
        <f t="shared" si="83"/>
        <v>2443.2731831489186</v>
      </c>
      <c r="H1024" s="87">
        <f t="shared" si="83"/>
        <v>2687.8074671588042</v>
      </c>
      <c r="I1024" s="87">
        <f t="shared" si="83"/>
        <v>2865.5773647405967</v>
      </c>
      <c r="J1024" s="87">
        <f t="shared" si="83"/>
        <v>2949.472402171546</v>
      </c>
      <c r="K1024" s="87">
        <f t="shared" si="83"/>
        <v>2983.3971111935971</v>
      </c>
      <c r="L1024" s="87">
        <f t="shared" si="83"/>
        <v>3004.3230321789465</v>
      </c>
      <c r="M1024" s="87">
        <f t="shared" si="83"/>
        <v>3018.8726485063112</v>
      </c>
    </row>
    <row r="1026" spans="2:12">
      <c r="B1026" t="s">
        <v>2479</v>
      </c>
      <c r="C1026">
        <f>D1026-1</f>
        <v>2010</v>
      </c>
      <c r="D1026">
        <f>E1026-1</f>
        <v>2011</v>
      </c>
      <c r="E1026">
        <f>F1026-1</f>
        <v>2012</v>
      </c>
      <c r="F1026">
        <v>2013</v>
      </c>
      <c r="G1026">
        <f t="shared" ref="G1026:L1026" si="84">F1026+1</f>
        <v>2014</v>
      </c>
      <c r="H1026">
        <f t="shared" si="84"/>
        <v>2015</v>
      </c>
      <c r="I1026">
        <f t="shared" si="84"/>
        <v>2016</v>
      </c>
      <c r="J1026">
        <f t="shared" si="84"/>
        <v>2017</v>
      </c>
      <c r="K1026">
        <f t="shared" si="84"/>
        <v>2018</v>
      </c>
      <c r="L1026">
        <f t="shared" si="84"/>
        <v>2019</v>
      </c>
    </row>
    <row r="1027" spans="2:12">
      <c r="C1027">
        <f>'Master old'!L281/1000</f>
        <v>246.053</v>
      </c>
      <c r="D1027">
        <f>'Master old'!M281/1000</f>
        <v>269.09899999999999</v>
      </c>
      <c r="E1027">
        <f>'Master old'!N281/1000</f>
        <v>289.37900000000002</v>
      </c>
      <c r="F1027">
        <f>'Master old'!O281/1000</f>
        <v>95.812479545454494</v>
      </c>
      <c r="G1027">
        <f>'Master old'!P281/1000</f>
        <v>-147.77000000000001</v>
      </c>
      <c r="H1027">
        <f>'Master old'!Q281/1000</f>
        <v>-68.477000000000004</v>
      </c>
      <c r="I1027">
        <f>'Master old'!R281/1000</f>
        <v>55.781999999999996</v>
      </c>
      <c r="J1027">
        <f>'Master old'!S281/1000</f>
        <v>53.091999999999999</v>
      </c>
      <c r="K1027">
        <f>'Master old'!T281/1000</f>
        <v>-5.0999999999999996</v>
      </c>
      <c r="L1027">
        <f ca="1">'Master old'!U281/1000</f>
        <v>81.177843498145748</v>
      </c>
    </row>
    <row r="1042" spans="2:9">
      <c r="B1042" s="381" t="s">
        <v>2487</v>
      </c>
    </row>
    <row r="1044" spans="2:9">
      <c r="B1044" s="108"/>
      <c r="C1044" s="108">
        <v>2014</v>
      </c>
      <c r="D1044" s="108">
        <f t="shared" ref="D1044:I1044" si="85">C1044+1</f>
        <v>2015</v>
      </c>
      <c r="E1044" s="108">
        <f t="shared" si="85"/>
        <v>2016</v>
      </c>
      <c r="F1044" s="108">
        <f t="shared" si="85"/>
        <v>2017</v>
      </c>
      <c r="G1044" s="108">
        <f t="shared" si="85"/>
        <v>2018</v>
      </c>
      <c r="H1044" s="108">
        <f t="shared" si="85"/>
        <v>2019</v>
      </c>
      <c r="I1044" s="108">
        <f t="shared" si="85"/>
        <v>2020</v>
      </c>
    </row>
    <row r="1045" spans="2:9">
      <c r="B1045" t="s">
        <v>133</v>
      </c>
      <c r="C1045" s="57">
        <f>'Master old'!P244</f>
        <v>0.31612393191145799</v>
      </c>
      <c r="D1045" s="57">
        <f>'Master old'!Q244</f>
        <v>0.34509361243203968</v>
      </c>
      <c r="E1045" s="57">
        <f>'Master old'!R244</f>
        <v>0.35447645307407211</v>
      </c>
      <c r="F1045" s="57">
        <f>'Master old'!S244</f>
        <v>0.34882826279483742</v>
      </c>
      <c r="G1045" s="57">
        <f>'Master old'!T244</f>
        <v>0.33054852981643584</v>
      </c>
      <c r="H1045" s="57">
        <f ca="1">'Master old'!U244</f>
        <v>0.35424561212170813</v>
      </c>
      <c r="I1045" s="57">
        <f ca="1">'Master old'!V244</f>
        <v>0.35256533905810261</v>
      </c>
    </row>
    <row r="1046" spans="2:9">
      <c r="B1046" t="s">
        <v>937</v>
      </c>
    </row>
    <row r="1048" spans="2:9">
      <c r="B1048" s="381" t="s">
        <v>2887</v>
      </c>
    </row>
    <row r="1050" spans="2:9">
      <c r="B1050" s="272" t="s">
        <v>2912</v>
      </c>
      <c r="C1050" s="272">
        <v>2021</v>
      </c>
      <c r="D1050" s="272">
        <f>C1050+1</f>
        <v>2022</v>
      </c>
      <c r="E1050" s="272">
        <f>D1050+1</f>
        <v>2023</v>
      </c>
      <c r="F1050" s="272">
        <f>E1050+1</f>
        <v>2024</v>
      </c>
      <c r="G1050" s="272">
        <f>F1050+1</f>
        <v>2025</v>
      </c>
    </row>
    <row r="1051" spans="2:9">
      <c r="B1051" s="344" t="s">
        <v>607</v>
      </c>
      <c r="C1051" s="501">
        <f>Master!G7</f>
        <v>2449819</v>
      </c>
      <c r="D1051" s="501">
        <f>Master!H7</f>
        <v>2592610</v>
      </c>
      <c r="E1051" s="501">
        <f>Master!I7</f>
        <v>2573141</v>
      </c>
      <c r="F1051" s="501">
        <f>Master!J7</f>
        <v>2634846.3528320827</v>
      </c>
      <c r="G1051" s="501">
        <f>Master!K7</f>
        <v>2693994.3051640457</v>
      </c>
    </row>
    <row r="1052" spans="2:9">
      <c r="B1052" s="3" t="s">
        <v>4</v>
      </c>
      <c r="C1052" s="87">
        <f>Master!G25</f>
        <v>757553</v>
      </c>
      <c r="D1052" s="87">
        <f>Master!H25</f>
        <v>748606</v>
      </c>
      <c r="E1052" s="87">
        <f>Master!I25</f>
        <v>751390</v>
      </c>
      <c r="F1052" s="87">
        <f>Master!J25</f>
        <v>752504.93600802077</v>
      </c>
      <c r="G1052" s="87">
        <f>Master!K25</f>
        <v>786972.02559765195</v>
      </c>
    </row>
    <row r="1053" spans="2:9">
      <c r="B1053" s="344" t="s">
        <v>137</v>
      </c>
      <c r="C1053" s="501">
        <f>Master!G39</f>
        <v>445467</v>
      </c>
      <c r="D1053" s="501">
        <f>Master!H39</f>
        <v>515266</v>
      </c>
      <c r="E1053" s="501">
        <f>Master!I39</f>
        <v>476242</v>
      </c>
      <c r="F1053" s="501">
        <f>Master!J39</f>
        <v>534922.5</v>
      </c>
      <c r="G1053" s="501">
        <f>Master!K39</f>
        <v>521898.29999999993</v>
      </c>
    </row>
    <row r="1054" spans="2:9">
      <c r="B1054" s="3" t="s">
        <v>177</v>
      </c>
      <c r="C1054" s="87">
        <f>C1052-C1053</f>
        <v>312086</v>
      </c>
      <c r="D1054" s="87">
        <f>D1052-D1053</f>
        <v>233340</v>
      </c>
      <c r="E1054" s="87">
        <f>E1052-E1053</f>
        <v>275148</v>
      </c>
      <c r="F1054" s="87">
        <f>F1052-F1053</f>
        <v>217582.43600802077</v>
      </c>
      <c r="G1054" s="87">
        <f>G1052-G1053</f>
        <v>265073.72559765202</v>
      </c>
      <c r="I1054" s="5">
        <f>D1054/D1075-1</f>
        <v>-0.28785763753523563</v>
      </c>
    </row>
    <row r="1055" spans="2:9">
      <c r="B1055" s="344" t="s">
        <v>101</v>
      </c>
      <c r="C1055" s="501">
        <f>Valuation!Q25</f>
        <v>-24313</v>
      </c>
      <c r="D1055" s="501">
        <f>Valuation!R25</f>
        <v>-202345</v>
      </c>
      <c r="E1055" s="501">
        <f>Valuation!S25</f>
        <v>-29145</v>
      </c>
      <c r="F1055" s="501">
        <f>Valuation!T25</f>
        <v>-85470.770325424382</v>
      </c>
      <c r="G1055" s="501">
        <f>Valuation!U25</f>
        <v>-51550.041717793909</v>
      </c>
    </row>
    <row r="1057" spans="2:7">
      <c r="B1057" s="503" t="s">
        <v>63</v>
      </c>
      <c r="C1057" s="503">
        <f>C1050</f>
        <v>2021</v>
      </c>
      <c r="D1057" s="503">
        <f>D1050</f>
        <v>2022</v>
      </c>
      <c r="E1057" s="503">
        <f>E1050</f>
        <v>2023</v>
      </c>
      <c r="F1057" s="503">
        <f>F1050</f>
        <v>2024</v>
      </c>
      <c r="G1057" s="503">
        <f>G1050</f>
        <v>2025</v>
      </c>
    </row>
    <row r="1058" spans="2:7">
      <c r="B1058" s="3" t="s">
        <v>607</v>
      </c>
      <c r="C1058" s="8">
        <f t="shared" ref="C1058:G1062" si="86">C1051/C1065-1</f>
        <v>8.701272906352453E-2</v>
      </c>
      <c r="D1058" s="8">
        <f t="shared" si="86"/>
        <v>8.2902706161110506E-2</v>
      </c>
      <c r="E1058" s="8">
        <f t="shared" si="86"/>
        <v>4.576834109626593E-2</v>
      </c>
      <c r="F1058" s="8">
        <f t="shared" si="86"/>
        <v>4.5580368968504814E-2</v>
      </c>
      <c r="G1058" s="8">
        <f t="shared" si="86"/>
        <v>4.385815773078594E-2</v>
      </c>
    </row>
    <row r="1059" spans="2:7">
      <c r="B1059" s="344" t="s">
        <v>4</v>
      </c>
      <c r="C1059" s="502">
        <f t="shared" si="86"/>
        <v>7.7443503794013768E-2</v>
      </c>
      <c r="D1059" s="502">
        <f t="shared" si="86"/>
        <v>-3.5364264156546144E-2</v>
      </c>
      <c r="E1059" s="502">
        <f t="shared" si="86"/>
        <v>-8.2799428711182399E-2</v>
      </c>
      <c r="F1059" s="502">
        <f t="shared" si="86"/>
        <v>-0.10972558968832336</v>
      </c>
      <c r="G1059" s="502">
        <f t="shared" si="86"/>
        <v>-8.8051515585977347E-2</v>
      </c>
    </row>
    <row r="1060" spans="2:7">
      <c r="B1060" s="3" t="s">
        <v>137</v>
      </c>
      <c r="C1060" s="8">
        <f t="shared" si="86"/>
        <v>0.11018378952612484</v>
      </c>
      <c r="D1060" s="8">
        <f t="shared" si="86"/>
        <v>0.26890033716341355</v>
      </c>
      <c r="E1060" s="8">
        <f t="shared" si="86"/>
        <v>0.16586736151934356</v>
      </c>
      <c r="F1060" s="8">
        <f t="shared" si="86"/>
        <v>0.30177426160149823</v>
      </c>
      <c r="G1060" s="8">
        <f t="shared" si="86"/>
        <v>0.25941662652267894</v>
      </c>
    </row>
    <row r="1061" spans="2:7">
      <c r="B1061" s="344" t="s">
        <v>177</v>
      </c>
      <c r="C1061" s="502">
        <f t="shared" si="86"/>
        <v>3.3920777035419514E-2</v>
      </c>
      <c r="D1061" s="502">
        <f t="shared" si="86"/>
        <v>-0.36931314286150629</v>
      </c>
      <c r="E1061" s="502">
        <f t="shared" si="86"/>
        <v>-0.33010617004349041</v>
      </c>
      <c r="F1061" s="502">
        <f t="shared" si="86"/>
        <v>-0.4990418179642564</v>
      </c>
      <c r="G1061" s="502">
        <f t="shared" si="86"/>
        <v>-0.40905599892321809</v>
      </c>
    </row>
    <row r="1062" spans="2:7">
      <c r="B1062" s="2" t="s">
        <v>101</v>
      </c>
      <c r="C1062" s="83">
        <f t="shared" si="86"/>
        <v>-1.464577368674175</v>
      </c>
      <c r="D1062" s="83">
        <f t="shared" si="86"/>
        <v>-2.8587226546480551</v>
      </c>
      <c r="E1062" s="83">
        <f t="shared" si="86"/>
        <v>-1.2054670068113265</v>
      </c>
      <c r="F1062" s="83">
        <f t="shared" si="86"/>
        <v>-1.525607173850382</v>
      </c>
      <c r="G1062" s="83">
        <f t="shared" si="86"/>
        <v>-1.2923115038812973</v>
      </c>
    </row>
    <row r="1064" spans="2:7">
      <c r="B1064" s="2" t="s">
        <v>2911</v>
      </c>
      <c r="C1064" s="2">
        <v>2021</v>
      </c>
      <c r="D1064" s="2">
        <f>C1064+1</f>
        <v>2022</v>
      </c>
      <c r="E1064" s="2">
        <f>D1064+1</f>
        <v>2023</v>
      </c>
      <c r="F1064" s="2">
        <f>E1064+1</f>
        <v>2024</v>
      </c>
      <c r="G1064" s="2">
        <f>F1064+1</f>
        <v>2025</v>
      </c>
    </row>
    <row r="1065" spans="2:7">
      <c r="B1065" s="3" t="s">
        <v>607</v>
      </c>
      <c r="C1065" s="87">
        <v>2253716.9386328626</v>
      </c>
      <c r="D1065" s="87">
        <v>2394130.133066895</v>
      </c>
      <c r="E1065" s="87">
        <v>2460526.7714478797</v>
      </c>
      <c r="F1065" s="87">
        <v>2519984.5282399808</v>
      </c>
      <c r="G1065" s="87">
        <v>2580804.9544015103</v>
      </c>
    </row>
    <row r="1066" spans="2:7">
      <c r="B1066" s="3" t="s">
        <v>4</v>
      </c>
      <c r="C1066" s="87">
        <v>703102.29476758663</v>
      </c>
      <c r="D1066" s="87">
        <v>776050.45322671696</v>
      </c>
      <c r="E1066" s="87">
        <v>819221.03356758005</v>
      </c>
      <c r="F1066" s="87">
        <v>845250.55116947135</v>
      </c>
      <c r="G1066" s="87">
        <v>862956.66810973978</v>
      </c>
    </row>
    <row r="1067" spans="2:7">
      <c r="B1067" s="3" t="s">
        <v>137</v>
      </c>
      <c r="C1067" s="87">
        <v>401255.18333333335</v>
      </c>
      <c r="D1067" s="87">
        <v>406072.86869499995</v>
      </c>
      <c r="E1067" s="87">
        <v>408487.29085216648</v>
      </c>
      <c r="F1067" s="87">
        <v>410918.01841427985</v>
      </c>
      <c r="G1067" s="87">
        <v>414396.86360262753</v>
      </c>
    </row>
    <row r="1068" spans="2:7">
      <c r="B1068" s="3" t="s">
        <v>177</v>
      </c>
      <c r="C1068" s="87">
        <v>301847.11143425328</v>
      </c>
      <c r="D1068" s="87">
        <v>369977.584531717</v>
      </c>
      <c r="E1068" s="87">
        <v>410733.74271541357</v>
      </c>
      <c r="F1068" s="87">
        <v>434332.5327551915</v>
      </c>
      <c r="G1068" s="87">
        <v>448559.80450711225</v>
      </c>
    </row>
    <row r="1069" spans="2:7">
      <c r="B1069" s="3" t="s">
        <v>101</v>
      </c>
      <c r="C1069" s="87">
        <v>52333.586694903315</v>
      </c>
      <c r="D1069" s="87">
        <v>108862.39509374977</v>
      </c>
      <c r="E1069" s="87">
        <v>141847.59126200195</v>
      </c>
      <c r="F1069" s="87">
        <v>162613.40137217048</v>
      </c>
      <c r="G1069" s="87">
        <v>176353.10630377207</v>
      </c>
    </row>
    <row r="1070" spans="2:7">
      <c r="B1070" s="3"/>
      <c r="C1070" s="3"/>
      <c r="D1070" s="3"/>
      <c r="E1070" s="3"/>
      <c r="F1070" s="3"/>
      <c r="G1070" s="3"/>
    </row>
    <row r="1071" spans="2:7" outlineLevel="1">
      <c r="B1071" s="2" t="s">
        <v>2704</v>
      </c>
      <c r="C1071" s="2">
        <v>2021</v>
      </c>
      <c r="D1071" s="2">
        <f>C1071+1</f>
        <v>2022</v>
      </c>
      <c r="E1071" s="2">
        <f>D1071+1</f>
        <v>2023</v>
      </c>
      <c r="F1071" s="2">
        <f>E1071+1</f>
        <v>2024</v>
      </c>
      <c r="G1071" s="2">
        <f>F1071+1</f>
        <v>2025</v>
      </c>
    </row>
    <row r="1072" spans="2:7" outlineLevel="1">
      <c r="B1072" s="3" t="s">
        <v>607</v>
      </c>
      <c r="C1072" s="87">
        <v>2036825.0427690195</v>
      </c>
      <c r="D1072" s="87">
        <v>2165367.3876198488</v>
      </c>
      <c r="E1072" s="87">
        <v>2209211.0222734837</v>
      </c>
      <c r="F1072" s="87">
        <v>2252599.4390272927</v>
      </c>
      <c r="G1072" s="87">
        <v>2296341.3629964138</v>
      </c>
    </row>
    <row r="1073" spans="2:22" outlineLevel="1">
      <c r="B1073" s="3" t="s">
        <v>4</v>
      </c>
      <c r="C1073" s="87">
        <v>683627.70090918429</v>
      </c>
      <c r="D1073" s="87">
        <v>729479.70895376382</v>
      </c>
      <c r="E1073" s="87">
        <v>757936.29737745575</v>
      </c>
      <c r="F1073" s="87">
        <v>787495.87646797649</v>
      </c>
      <c r="G1073" s="87">
        <v>818365.80038816424</v>
      </c>
    </row>
    <row r="1074" spans="2:22" outlineLevel="1">
      <c r="B1074" s="3" t="s">
        <v>137</v>
      </c>
      <c r="C1074" s="87">
        <v>403351.39999999997</v>
      </c>
      <c r="D1074" s="87">
        <v>401820.50442000001</v>
      </c>
      <c r="E1074" s="87">
        <v>400483.14466602606</v>
      </c>
      <c r="F1074" s="87">
        <v>399342.26560262876</v>
      </c>
      <c r="G1074" s="87">
        <v>398400.97707319423</v>
      </c>
    </row>
    <row r="1075" spans="2:22" outlineLevel="1">
      <c r="B1075" s="3" t="s">
        <v>177</v>
      </c>
      <c r="C1075" s="87">
        <f>C1073-C1074</f>
        <v>280276.30090918433</v>
      </c>
      <c r="D1075" s="87">
        <f>D1073-D1074</f>
        <v>327659.20453376381</v>
      </c>
      <c r="E1075" s="87">
        <f>E1073-E1074</f>
        <v>357453.15271142969</v>
      </c>
      <c r="F1075" s="87">
        <f>F1073-F1074</f>
        <v>388153.61086534773</v>
      </c>
      <c r="G1075" s="87">
        <f>G1073-G1074</f>
        <v>419964.82331497001</v>
      </c>
    </row>
    <row r="1076" spans="2:22" outlineLevel="1">
      <c r="B1076" s="3" t="s">
        <v>101</v>
      </c>
      <c r="C1076" s="87">
        <v>27670.142126796105</v>
      </c>
      <c r="D1076" s="87">
        <v>73863.981022986642</v>
      </c>
      <c r="E1076" s="87">
        <v>101355.13265440427</v>
      </c>
      <c r="F1076" s="87">
        <v>130164.32472262254</v>
      </c>
      <c r="G1076" s="87">
        <v>160571.52883374825</v>
      </c>
      <c r="M1076" s="540" t="s">
        <v>3029</v>
      </c>
      <c r="N1076" s="540"/>
      <c r="U1076" s="540" t="s">
        <v>3030</v>
      </c>
      <c r="V1076" s="540"/>
    </row>
    <row r="1077" spans="2:22" outlineLevel="1">
      <c r="B1077" s="3"/>
      <c r="C1077" s="87"/>
      <c r="D1077" s="87"/>
      <c r="E1077" s="87"/>
      <c r="F1077" s="87"/>
      <c r="G1077" s="87"/>
    </row>
    <row r="1078" spans="2:22">
      <c r="B1078" s="2" t="s">
        <v>63</v>
      </c>
      <c r="C1078" s="2">
        <f>C1071</f>
        <v>2021</v>
      </c>
      <c r="D1078" s="2">
        <f>D1071</f>
        <v>2022</v>
      </c>
      <c r="E1078" s="2">
        <f>E1071</f>
        <v>2023</v>
      </c>
      <c r="F1078" s="2">
        <f>F1071</f>
        <v>2024</v>
      </c>
      <c r="G1078" s="2">
        <f>G1071</f>
        <v>2025</v>
      </c>
      <c r="O1078" s="166"/>
    </row>
    <row r="1079" spans="2:22">
      <c r="B1079" s="3" t="s">
        <v>607</v>
      </c>
      <c r="C1079" s="8">
        <f t="shared" ref="C1079:F1083" si="87">C1065/C1072-1</f>
        <v>0.106485285338491</v>
      </c>
      <c r="D1079" s="8">
        <f t="shared" si="87"/>
        <v>0.10564615813231581</v>
      </c>
      <c r="E1079" s="8">
        <f t="shared" si="87"/>
        <v>0.11375814561877795</v>
      </c>
      <c r="F1079" s="8">
        <f t="shared" si="87"/>
        <v>0.11870068179016746</v>
      </c>
      <c r="G1079" s="8">
        <f>G1051/G1072-1</f>
        <v>0.17316804399183439</v>
      </c>
      <c r="I1079" s="87"/>
      <c r="O1079" s="166"/>
    </row>
    <row r="1080" spans="2:22">
      <c r="B1080" s="3" t="s">
        <v>4</v>
      </c>
      <c r="C1080" s="8">
        <f t="shared" si="87"/>
        <v>2.8487133907099338E-2</v>
      </c>
      <c r="D1080" s="8">
        <f t="shared" si="87"/>
        <v>6.3841041363228435E-2</v>
      </c>
      <c r="E1080" s="8">
        <f t="shared" si="87"/>
        <v>8.0857370734422229E-2</v>
      </c>
      <c r="F1080" s="8">
        <f t="shared" si="87"/>
        <v>7.3339653485593237E-2</v>
      </c>
      <c r="G1080" s="8">
        <f>G1052/G1073-1</f>
        <v>-3.8361542937915716E-2</v>
      </c>
      <c r="I1080" s="8"/>
      <c r="O1080" s="166"/>
    </row>
    <row r="1081" spans="2:22">
      <c r="B1081" s="3" t="s">
        <v>137</v>
      </c>
      <c r="C1081" s="8">
        <f t="shared" si="87"/>
        <v>-5.1969986137809787E-3</v>
      </c>
      <c r="D1081" s="8">
        <f t="shared" si="87"/>
        <v>1.0582745848517483E-2</v>
      </c>
      <c r="E1081" s="8">
        <f t="shared" si="87"/>
        <v>1.9986224870500502E-2</v>
      </c>
      <c r="F1081" s="8">
        <f t="shared" si="87"/>
        <v>2.8987046472986444E-2</v>
      </c>
      <c r="G1081" s="8">
        <f>G1053/G1074-1</f>
        <v>0.30998248004827755</v>
      </c>
    </row>
    <row r="1082" spans="2:22">
      <c r="B1082" s="3" t="s">
        <v>177</v>
      </c>
      <c r="C1082" s="8">
        <f t="shared" si="87"/>
        <v>7.6962663111706853E-2</v>
      </c>
      <c r="D1082" s="8">
        <f t="shared" si="87"/>
        <v>0.1291536432134397</v>
      </c>
      <c r="E1082" s="8">
        <f t="shared" si="87"/>
        <v>0.14905614791708688</v>
      </c>
      <c r="F1082" s="8">
        <f t="shared" si="87"/>
        <v>0.11897073889611054</v>
      </c>
      <c r="G1082" s="8">
        <f>G1054/G1075-1</f>
        <v>-0.36881921798757655</v>
      </c>
    </row>
    <row r="1083" spans="2:22">
      <c r="B1083" s="3" t="s">
        <v>101</v>
      </c>
      <c r="C1083" s="8">
        <f t="shared" si="87"/>
        <v>0.89133783466268612</v>
      </c>
      <c r="D1083" s="8">
        <f t="shared" si="87"/>
        <v>0.47382247187396453</v>
      </c>
      <c r="E1083" s="8">
        <f t="shared" si="87"/>
        <v>0.3995106863079827</v>
      </c>
      <c r="F1083" s="8">
        <f t="shared" si="87"/>
        <v>0.24929316630110643</v>
      </c>
      <c r="G1083" s="8">
        <f>G1055/G1076-1</f>
        <v>-1.3210409846141997</v>
      </c>
    </row>
    <row r="1125" spans="2:7">
      <c r="B1125" s="525" t="s">
        <v>3017</v>
      </c>
      <c r="C1125" s="3"/>
      <c r="D1125" s="3"/>
      <c r="E1125" s="3"/>
      <c r="F1125" s="3"/>
      <c r="G1125" s="3"/>
    </row>
    <row r="1126" spans="2:7">
      <c r="B1126" s="3"/>
      <c r="C1126" s="3"/>
      <c r="D1126" s="3"/>
      <c r="E1126" s="3"/>
      <c r="F1126" s="3"/>
      <c r="G1126" s="3"/>
    </row>
    <row r="1127" spans="2:7">
      <c r="B1127" s="344" t="s">
        <v>2996</v>
      </c>
      <c r="C1127" s="501">
        <f>18580*31694/1000</f>
        <v>588874.52</v>
      </c>
      <c r="D1127" s="3"/>
      <c r="E1127" s="3"/>
      <c r="F1127" s="3"/>
      <c r="G1127" s="3"/>
    </row>
    <row r="1128" spans="2:7" ht="14.7" thickBot="1">
      <c r="B1128" s="3" t="s">
        <v>2993</v>
      </c>
      <c r="C1128" s="87">
        <f>C1127/C1129</f>
        <v>800.10125000000005</v>
      </c>
      <c r="D1128" s="3"/>
      <c r="E1128" s="3"/>
      <c r="F1128" s="3"/>
      <c r="G1128" s="3"/>
    </row>
    <row r="1129" spans="2:7" ht="14.7" thickBot="1">
      <c r="B1129" s="533" t="s">
        <v>2992</v>
      </c>
      <c r="C1129" s="534">
        <v>736</v>
      </c>
      <c r="D1129" s="3"/>
      <c r="E1129" s="3"/>
      <c r="F1129" s="3"/>
      <c r="G1129" s="3"/>
    </row>
    <row r="1130" spans="2:7">
      <c r="B1130" s="4" t="s">
        <v>2994</v>
      </c>
      <c r="C1130" s="87">
        <f>16722/18580*C1129</f>
        <v>662.4</v>
      </c>
      <c r="D1130" s="3"/>
      <c r="E1130" s="3"/>
      <c r="F1130" s="3"/>
      <c r="G1130" s="3"/>
    </row>
    <row r="1131" spans="2:7">
      <c r="B1131" s="529" t="s">
        <v>2995</v>
      </c>
      <c r="C1131" s="501">
        <f>C1129-C1130</f>
        <v>73.600000000000023</v>
      </c>
      <c r="D1131" s="3"/>
      <c r="E1131" s="3"/>
      <c r="F1131" s="3"/>
      <c r="G1131" s="3"/>
    </row>
    <row r="1132" spans="2:7">
      <c r="B1132" s="3"/>
      <c r="C1132" s="87"/>
      <c r="D1132" s="3"/>
      <c r="E1132" s="3"/>
      <c r="F1132" s="3"/>
      <c r="G1132" s="3"/>
    </row>
    <row r="1133" spans="2:7">
      <c r="B1133" s="344" t="s">
        <v>3000</v>
      </c>
      <c r="C1133" s="501">
        <v>8800</v>
      </c>
      <c r="D1133" s="3"/>
      <c r="E1133" s="3"/>
      <c r="F1133" s="3"/>
      <c r="G1133" s="3"/>
    </row>
    <row r="1134" spans="2:7">
      <c r="B1134" s="3" t="str">
        <f>B1130</f>
        <v xml:space="preserve"> - of which Chile</v>
      </c>
      <c r="C1134" s="87">
        <f>C1133-C1135</f>
        <v>8000</v>
      </c>
      <c r="D1134" s="3"/>
      <c r="E1134" s="3"/>
      <c r="F1134" s="3"/>
      <c r="G1134" s="3"/>
    </row>
    <row r="1135" spans="2:7">
      <c r="B1135" s="344" t="str">
        <f>B1131</f>
        <v xml:space="preserve"> - of which Peru</v>
      </c>
      <c r="C1135" s="344">
        <v>800</v>
      </c>
      <c r="D1135" s="3"/>
      <c r="E1135" s="3"/>
      <c r="F1135" s="3"/>
      <c r="G1135" s="3"/>
    </row>
    <row r="1136" spans="2:7">
      <c r="B1136" s="3"/>
      <c r="C1136" s="3"/>
      <c r="D1136" s="3"/>
      <c r="E1136" s="3"/>
      <c r="F1136" s="3"/>
      <c r="G1136" s="3"/>
    </row>
    <row r="1137" spans="2:7">
      <c r="B1137" s="344" t="s">
        <v>2999</v>
      </c>
      <c r="C1137" s="501">
        <f>C1129*1000000/C1133/C1128</f>
        <v>104.53222468576774</v>
      </c>
      <c r="D1137" s="3"/>
      <c r="E1137" s="3"/>
      <c r="F1137" s="3"/>
      <c r="G1137" s="3"/>
    </row>
    <row r="1138" spans="2:7">
      <c r="B1138" s="3" t="str">
        <f>B1134</f>
        <v xml:space="preserve"> - of which Chile</v>
      </c>
      <c r="C1138" s="87">
        <f>C1130*1000000/C1134/C1128</f>
        <v>103.48690243891006</v>
      </c>
      <c r="D1138" s="3"/>
      <c r="E1138" s="3"/>
      <c r="F1138" s="3"/>
      <c r="G1138" s="3"/>
    </row>
    <row r="1139" spans="2:7">
      <c r="B1139" s="344" t="str">
        <f>B1135</f>
        <v xml:space="preserve"> - of which Peru</v>
      </c>
      <c r="C1139" s="501">
        <f>C1131*1000000/C1135/C1128</f>
        <v>114.98544715434457</v>
      </c>
      <c r="D1139" s="3"/>
      <c r="E1139" s="3"/>
      <c r="F1139" s="3"/>
      <c r="G1139" s="3"/>
    </row>
    <row r="1140" spans="2:7">
      <c r="B1140" s="3"/>
      <c r="C1140" s="3"/>
      <c r="D1140" s="3"/>
      <c r="E1140" s="3"/>
      <c r="F1140" s="3"/>
      <c r="G1140" s="3"/>
    </row>
    <row r="1141" spans="2:7">
      <c r="B1141" s="443"/>
      <c r="C1141" s="530" t="s">
        <v>3001</v>
      </c>
      <c r="D1141" s="3"/>
      <c r="E1141" s="3"/>
      <c r="F1141" s="3"/>
      <c r="G1141" s="3"/>
    </row>
    <row r="1142" spans="2:7">
      <c r="B1142" s="3" t="s">
        <v>3018</v>
      </c>
      <c r="C1142" s="87">
        <f>16*C1128</f>
        <v>12801.62</v>
      </c>
      <c r="D1142" s="3"/>
      <c r="E1142" s="3"/>
      <c r="F1142" s="3"/>
      <c r="G1142" s="3"/>
    </row>
    <row r="1143" spans="2:7">
      <c r="B1143" s="443" t="s">
        <v>2997</v>
      </c>
      <c r="C1143" s="537">
        <f>16*C1128</f>
        <v>12801.62</v>
      </c>
      <c r="D1143" s="3"/>
      <c r="E1143" s="3"/>
      <c r="F1143" s="3"/>
      <c r="G1143" s="3"/>
    </row>
    <row r="1144" spans="2:7">
      <c r="B1144" s="3" t="s">
        <v>4</v>
      </c>
      <c r="C1144" s="87">
        <f>C1142+C1143</f>
        <v>25603.24</v>
      </c>
      <c r="D1144" s="440">
        <f>C1144/Master!H4</f>
        <v>1.5377293614485981E-2</v>
      </c>
      <c r="E1144" s="3"/>
      <c r="F1144" s="3"/>
      <c r="G1144" s="3"/>
    </row>
    <row r="1145" spans="2:7" ht="14.7" thickBot="1">
      <c r="B1145" s="344"/>
      <c r="C1145" s="344"/>
      <c r="D1145" s="3"/>
      <c r="E1145" s="3"/>
      <c r="F1145" s="3"/>
      <c r="G1145" s="3"/>
    </row>
    <row r="1146" spans="2:7" ht="14.7" thickBot="1">
      <c r="B1146" s="531" t="s">
        <v>2719</v>
      </c>
      <c r="C1146" s="532">
        <f>C1127/C1144</f>
        <v>23</v>
      </c>
      <c r="D1146" s="3"/>
      <c r="E1146" s="3"/>
      <c r="F1146" s="3"/>
      <c r="G1146" s="3"/>
    </row>
    <row r="1147" spans="2:7">
      <c r="B1147" s="3"/>
      <c r="C1147" s="3"/>
      <c r="D1147" s="3"/>
      <c r="E1147" s="3"/>
      <c r="F1147" s="3"/>
      <c r="G1147" s="3"/>
    </row>
    <row r="1148" spans="2:7">
      <c r="B1148" s="525" t="s">
        <v>1145</v>
      </c>
      <c r="C1148" s="3"/>
      <c r="D1148" s="3"/>
      <c r="E1148" s="3"/>
      <c r="F1148" s="3"/>
      <c r="G1148" s="3"/>
    </row>
    <row r="1149" spans="2:7">
      <c r="B1149" s="3"/>
      <c r="C1149" s="87"/>
      <c r="D1149" s="3"/>
      <c r="E1149" s="3"/>
      <c r="F1149" s="3"/>
      <c r="G1149" s="3"/>
    </row>
    <row r="1150" spans="2:7">
      <c r="B1150" s="272" t="s">
        <v>2927</v>
      </c>
      <c r="C1150" s="526" t="s">
        <v>2998</v>
      </c>
      <c r="D1150" s="3"/>
      <c r="E1150" s="3"/>
      <c r="F1150" s="3"/>
      <c r="G1150" s="3"/>
    </row>
    <row r="1151" spans="2:7">
      <c r="B1151" s="344" t="s">
        <v>181</v>
      </c>
      <c r="C1151" s="501">
        <f>'New Ints'!R131</f>
        <v>1299845</v>
      </c>
      <c r="D1151" s="3"/>
      <c r="E1151" s="3"/>
      <c r="F1151" s="3"/>
      <c r="G1151" s="3"/>
    </row>
    <row r="1152" spans="2:7">
      <c r="B1152" s="3" t="s">
        <v>2615</v>
      </c>
      <c r="C1152" s="87">
        <f>C1153-C1151</f>
        <v>591417</v>
      </c>
      <c r="D1152" s="3"/>
      <c r="E1152" s="3"/>
      <c r="F1152" s="3"/>
      <c r="G1152" s="3"/>
    </row>
    <row r="1153" spans="2:7">
      <c r="B1153" s="344" t="s">
        <v>2600</v>
      </c>
      <c r="C1153" s="501">
        <f>'New Ints'!R132</f>
        <v>1891262</v>
      </c>
      <c r="D1153" s="3"/>
      <c r="E1153" s="3"/>
      <c r="F1153" s="3"/>
      <c r="G1153" s="3"/>
    </row>
    <row r="1154" spans="2:7">
      <c r="B1154" s="3"/>
      <c r="C1154" s="3"/>
      <c r="D1154" s="3"/>
      <c r="E1154" s="3"/>
      <c r="F1154" s="3"/>
      <c r="G1154" s="3"/>
    </row>
    <row r="1155" spans="2:7">
      <c r="B1155" s="344" t="s">
        <v>3009</v>
      </c>
      <c r="C1155" s="501">
        <f>Master!G14</f>
        <v>772453</v>
      </c>
      <c r="D1155" s="87">
        <f>Master!H14</f>
        <v>1282013</v>
      </c>
      <c r="E1155" s="3"/>
      <c r="F1155" s="3"/>
      <c r="G1155" s="3"/>
    </row>
    <row r="1156" spans="2:7">
      <c r="B1156" s="3" t="s">
        <v>2615</v>
      </c>
      <c r="C1156" s="87">
        <f>Notes!D311*1000</f>
        <v>117000</v>
      </c>
      <c r="D1156" s="87">
        <f>Master!H28</f>
        <v>134864</v>
      </c>
      <c r="E1156" s="3"/>
      <c r="F1156" s="3"/>
      <c r="G1156" s="3"/>
    </row>
    <row r="1157" spans="2:7">
      <c r="B1157" s="344" t="s">
        <v>3002</v>
      </c>
      <c r="C1157" s="501">
        <f>C1155-C1156</f>
        <v>655453</v>
      </c>
      <c r="D1157" s="87">
        <f>D1155-D1156</f>
        <v>1147149</v>
      </c>
      <c r="E1157" s="3"/>
      <c r="F1157" s="3"/>
      <c r="G1157" s="3"/>
    </row>
    <row r="1158" spans="2:7">
      <c r="B1158" s="3"/>
      <c r="C1158" s="3"/>
      <c r="D1158" s="3"/>
      <c r="E1158" s="3"/>
      <c r="F1158" s="3"/>
      <c r="G1158" s="3"/>
    </row>
    <row r="1159" spans="2:7">
      <c r="B1159" s="535" t="s">
        <v>3010</v>
      </c>
      <c r="C1159" s="344"/>
      <c r="D1159" s="3"/>
      <c r="E1159" s="3"/>
      <c r="F1159" s="3"/>
      <c r="G1159" s="3"/>
    </row>
    <row r="1160" spans="2:7" ht="14.7" thickBot="1">
      <c r="B1160" s="3" t="s">
        <v>3004</v>
      </c>
      <c r="C1160" s="465">
        <f>C1153/C1155</f>
        <v>2.4483845619086209</v>
      </c>
      <c r="D1160" s="3"/>
      <c r="E1160" s="3"/>
      <c r="F1160" s="3"/>
      <c r="G1160" s="3"/>
    </row>
    <row r="1161" spans="2:7" ht="14.7" thickBot="1">
      <c r="B1161" s="533" t="s">
        <v>3003</v>
      </c>
      <c r="C1161" s="538">
        <f>C1151/C1157</f>
        <v>1.983124648144108</v>
      </c>
      <c r="D1161" s="3"/>
      <c r="E1161" s="3"/>
      <c r="F1161" s="3"/>
      <c r="G1161" s="3"/>
    </row>
    <row r="1162" spans="2:7">
      <c r="B1162" s="3"/>
      <c r="C1162" s="3"/>
      <c r="D1162" s="3"/>
      <c r="E1162" s="3"/>
      <c r="F1162" s="3"/>
      <c r="G1162" s="3"/>
    </row>
    <row r="1163" spans="2:7">
      <c r="B1163" s="535" t="s">
        <v>3011</v>
      </c>
      <c r="C1163" s="344"/>
      <c r="D1163" s="3"/>
      <c r="E1163" s="3"/>
      <c r="F1163" s="3"/>
      <c r="G1163" s="3"/>
    </row>
    <row r="1164" spans="2:7">
      <c r="B1164" s="3" t="s">
        <v>681</v>
      </c>
      <c r="C1164" s="87">
        <f>0.27*544000</f>
        <v>146880</v>
      </c>
      <c r="D1164" s="3"/>
      <c r="E1164" s="3"/>
      <c r="F1164" s="3"/>
      <c r="G1164" s="3"/>
    </row>
    <row r="1165" spans="2:7">
      <c r="B1165" s="344" t="s">
        <v>3005</v>
      </c>
      <c r="C1165" s="501">
        <f>C1127-C1164</f>
        <v>441994.52</v>
      </c>
      <c r="D1165" s="3">
        <f>C1165/2</f>
        <v>220997.26</v>
      </c>
      <c r="E1165" s="3">
        <f>D1165/SOP!F11</f>
        <v>731.73754230277677</v>
      </c>
      <c r="F1165" s="3"/>
      <c r="G1165" s="3"/>
    </row>
    <row r="1166" spans="2:7">
      <c r="B1166" s="3" t="s">
        <v>3006</v>
      </c>
      <c r="C1166" s="87">
        <f>C1151-C1165</f>
        <v>857850.48</v>
      </c>
      <c r="D1166" s="3"/>
      <c r="E1166" s="3"/>
      <c r="F1166" s="3"/>
      <c r="G1166" s="3"/>
    </row>
    <row r="1167" spans="2:7" ht="14.7" thickBot="1">
      <c r="B1167" s="344" t="s">
        <v>3007</v>
      </c>
      <c r="C1167" s="501">
        <f>C1157-C1144</f>
        <v>629849.76</v>
      </c>
      <c r="D1167" s="87">
        <f>D1157-D1144</f>
        <v>1147148.9846227064</v>
      </c>
      <c r="E1167" s="3"/>
      <c r="F1167" s="3"/>
      <c r="G1167" s="3"/>
    </row>
    <row r="1168" spans="2:7" ht="14.7" thickBot="1">
      <c r="B1168" s="531" t="s">
        <v>3012</v>
      </c>
      <c r="C1168" s="539">
        <f>C1166/C1167</f>
        <v>1.3619922312902049</v>
      </c>
      <c r="D1168" s="3"/>
      <c r="E1168" s="3"/>
      <c r="F1168" s="3"/>
      <c r="G1168" s="3"/>
    </row>
    <row r="1169" spans="2:7">
      <c r="B1169" s="344" t="s">
        <v>3008</v>
      </c>
      <c r="C1169" s="536">
        <f>C1161-C1168</f>
        <v>0.62113241685390319</v>
      </c>
      <c r="D1169" s="3"/>
      <c r="E1169" s="3"/>
      <c r="F1169" s="3"/>
      <c r="G1169" s="3"/>
    </row>
    <row r="1170" spans="2:7">
      <c r="B1170" s="3"/>
      <c r="C1170" s="3"/>
      <c r="D1170" s="3"/>
      <c r="E1170" s="3"/>
      <c r="F1170" s="3"/>
      <c r="G1170" s="3"/>
    </row>
    <row r="1171" spans="2:7">
      <c r="B1171" s="344" t="s">
        <v>3016</v>
      </c>
      <c r="C1171" s="536">
        <f>(C1153-C1165)/(C1155-C1144)</f>
        <v>1.9405073920088023</v>
      </c>
      <c r="D1171" s="3"/>
      <c r="E1171" s="3"/>
      <c r="F1171" s="3"/>
      <c r="G1171" s="3"/>
    </row>
    <row r="1172" spans="2:7">
      <c r="B1172" s="3"/>
      <c r="C1172" s="3"/>
      <c r="D1172" s="3"/>
      <c r="E1172" s="3"/>
      <c r="F1172" s="3"/>
      <c r="G1172" s="3"/>
    </row>
    <row r="1173" spans="2:7">
      <c r="B1173" s="3" t="s">
        <v>3013</v>
      </c>
      <c r="D1173" s="3"/>
      <c r="E1173" s="3"/>
      <c r="F1173" s="3"/>
      <c r="G1173" s="3"/>
    </row>
    <row r="1174" spans="2:7">
      <c r="B1174" s="3" t="s">
        <v>3014</v>
      </c>
      <c r="C1174" s="463">
        <f>Valuation!Q36</f>
        <v>3.9120728495534327</v>
      </c>
      <c r="D1174" s="463">
        <f>Valuation!R36</f>
        <v>4.5796489064949117</v>
      </c>
      <c r="E1174" s="3"/>
      <c r="F1174" s="3"/>
      <c r="G1174" s="3"/>
    </row>
    <row r="1175" spans="2:7">
      <c r="B1175" s="3" t="s">
        <v>805</v>
      </c>
      <c r="C1175" s="463">
        <f>C1176/C1167</f>
        <v>3.2768060116431577</v>
      </c>
      <c r="D1175" s="463">
        <f>D1176/D1167</f>
        <v>2.0648829323150797</v>
      </c>
      <c r="E1175" s="3"/>
      <c r="F1175" s="3"/>
      <c r="G1175" s="3"/>
    </row>
    <row r="1176" spans="2:7">
      <c r="B1176" s="3"/>
      <c r="C1176" s="166">
        <f>Valuation!Q15-Analysis!C1165</f>
        <v>2063895.48</v>
      </c>
      <c r="D1176" s="166">
        <f>Valuation!R15-Analysis!C1165</f>
        <v>2368728.3591700001</v>
      </c>
    </row>
    <row r="1177" spans="2:7">
      <c r="C1177">
        <f>Valuation!Q46</f>
        <v>2.0291841580634231</v>
      </c>
    </row>
    <row r="1179" spans="2:7">
      <c r="D1179" s="166">
        <f>D1174*D1167</f>
        <v>5253539.5930141257</v>
      </c>
    </row>
    <row r="1180" spans="2:7">
      <c r="D1180" s="166">
        <f>D1179-D1176</f>
        <v>2884811.2338441256</v>
      </c>
    </row>
    <row r="1181" spans="2:7">
      <c r="D1181">
        <f>D1180/SOP!F11</f>
        <v>9551.8138200470967</v>
      </c>
    </row>
    <row r="1184" spans="2:7">
      <c r="B1184" s="17" t="s">
        <v>3057</v>
      </c>
    </row>
    <row r="1185" spans="2:4">
      <c r="C1185" s="178" t="s">
        <v>3067</v>
      </c>
    </row>
    <row r="1186" spans="2:4">
      <c r="B1186" t="s">
        <v>212</v>
      </c>
      <c r="C1186" s="570">
        <v>1500</v>
      </c>
    </row>
    <row r="1187" spans="2:4">
      <c r="B1187" t="s">
        <v>133</v>
      </c>
      <c r="C1187" s="570">
        <v>900</v>
      </c>
    </row>
    <row r="1188" spans="2:4">
      <c r="B1188" t="s">
        <v>3058</v>
      </c>
      <c r="C1188" s="570">
        <v>3500</v>
      </c>
      <c r="D1188" t="s">
        <v>3060</v>
      </c>
    </row>
    <row r="1189" spans="2:4">
      <c r="B1189" t="s">
        <v>1636</v>
      </c>
      <c r="C1189" s="570">
        <v>950</v>
      </c>
    </row>
    <row r="1190" spans="2:4">
      <c r="B1190" t="s">
        <v>291</v>
      </c>
      <c r="C1190" s="570">
        <v>4271</v>
      </c>
    </row>
    <row r="1191" spans="2:4">
      <c r="B1191" t="s">
        <v>936</v>
      </c>
      <c r="C1191" s="570">
        <v>2000</v>
      </c>
      <c r="D1191" t="s">
        <v>3062</v>
      </c>
    </row>
    <row r="1192" spans="2:4">
      <c r="B1192" s="108" t="s">
        <v>3059</v>
      </c>
      <c r="C1192" s="572">
        <v>3500</v>
      </c>
      <c r="D1192" t="s">
        <v>3061</v>
      </c>
    </row>
    <row r="1193" spans="2:4">
      <c r="B1193" t="s">
        <v>3064</v>
      </c>
      <c r="C1193" s="571">
        <f>SUM(C1186:C1192)</f>
        <v>16621</v>
      </c>
    </row>
    <row r="1194" spans="2:4">
      <c r="C1194" s="571"/>
    </row>
    <row r="1195" spans="2:4">
      <c r="B1195" t="s">
        <v>3063</v>
      </c>
      <c r="C1195" s="570">
        <v>8000</v>
      </c>
    </row>
    <row r="1196" spans="2:4">
      <c r="B1196" t="s">
        <v>3065</v>
      </c>
      <c r="C1196" s="570">
        <v>6000</v>
      </c>
    </row>
    <row r="1197" spans="2:4">
      <c r="B1197" t="s">
        <v>3066</v>
      </c>
      <c r="C1197" s="424">
        <f>C1193/C1196</f>
        <v>2.7701666666666669</v>
      </c>
    </row>
    <row r="1202" spans="2:7">
      <c r="B1202" s="476"/>
      <c r="C1202" s="573" t="s">
        <v>2577</v>
      </c>
      <c r="D1202" s="573" t="s">
        <v>2488</v>
      </c>
      <c r="E1202" s="573" t="s">
        <v>1389</v>
      </c>
      <c r="F1202" s="573" t="s">
        <v>3077</v>
      </c>
      <c r="G1202" s="573" t="s">
        <v>2719</v>
      </c>
    </row>
    <row r="1203" spans="2:7">
      <c r="B1203" t="s">
        <v>1708</v>
      </c>
      <c r="C1203" s="15">
        <f>Notes!F545</f>
        <v>774.52054794520541</v>
      </c>
      <c r="D1203" s="15">
        <f>Notes!F543</f>
        <v>565.4</v>
      </c>
      <c r="E1203">
        <f>D1203/C1203*1000</f>
        <v>730.00000000000011</v>
      </c>
      <c r="F1203" s="15">
        <f>Notes!F562*E1203/1000</f>
        <v>25.948968000000001</v>
      </c>
      <c r="G1203" s="164">
        <f>D1203/F1203</f>
        <v>21.788920468821726</v>
      </c>
    </row>
    <row r="1204" spans="2:7">
      <c r="B1204" t="s">
        <v>2944</v>
      </c>
      <c r="C1204" s="166">
        <f>C1129</f>
        <v>736</v>
      </c>
      <c r="D1204" s="166">
        <f>C1127/1000</f>
        <v>588.87452000000008</v>
      </c>
      <c r="E1204" s="15">
        <f>D1204/C1204*1000</f>
        <v>800.10125000000005</v>
      </c>
      <c r="F1204" s="15">
        <f>C1144/1000</f>
        <v>25.603240000000003</v>
      </c>
      <c r="G1204" s="164">
        <f>D1204/F1204</f>
        <v>23</v>
      </c>
    </row>
    <row r="1205" spans="2:7">
      <c r="B1205" s="108" t="s">
        <v>2970</v>
      </c>
      <c r="C1205" s="574">
        <v>365</v>
      </c>
      <c r="D1205" s="575">
        <f>C1205*E1205/1000</f>
        <v>335.8</v>
      </c>
      <c r="E1205" s="574">
        <v>920</v>
      </c>
      <c r="F1205" s="574"/>
      <c r="G1205" s="574"/>
    </row>
    <row r="1206" spans="2:7">
      <c r="B1206" t="s">
        <v>3078</v>
      </c>
      <c r="C1206" s="15">
        <f>SUM(C1203:C1204)</f>
        <v>1510.5205479452054</v>
      </c>
      <c r="D1206" s="15">
        <f>SUM(D1203:D1204)</f>
        <v>1154.2745199999999</v>
      </c>
      <c r="E1206" s="15">
        <f>D1206/C1206*1000</f>
        <v>764.15678129647767</v>
      </c>
      <c r="F1206" s="15">
        <f>SUM(F1203:F1204)</f>
        <v>51.552208000000007</v>
      </c>
      <c r="G1206" s="164">
        <f>D1206/F1206</f>
        <v>22.390399262821095</v>
      </c>
    </row>
    <row r="1208" spans="2:7">
      <c r="B1208" t="s">
        <v>681</v>
      </c>
      <c r="C1208" s="15">
        <f>0.2*C1206</f>
        <v>302.10410958904112</v>
      </c>
      <c r="D1208" s="15">
        <f>0.2*D1206</f>
        <v>230.854904</v>
      </c>
    </row>
    <row r="1209" spans="2:7">
      <c r="B1209" t="s">
        <v>3068</v>
      </c>
      <c r="C1209" s="15">
        <f>C1206-C1208</f>
        <v>1208.4164383561642</v>
      </c>
      <c r="D1209" s="15">
        <f>D1206-D1208</f>
        <v>923.41961599999991</v>
      </c>
    </row>
    <row r="1211" spans="2:7">
      <c r="B1211" s="17" t="s">
        <v>3074</v>
      </c>
    </row>
    <row r="1212" spans="2:7">
      <c r="B1212" t="s">
        <v>2927</v>
      </c>
    </row>
    <row r="1213" spans="2:7">
      <c r="B1213" t="s">
        <v>3070</v>
      </c>
      <c r="C1213" s="166">
        <f>'New Ints'!U132</f>
        <v>2142600</v>
      </c>
    </row>
    <row r="1214" spans="2:7">
      <c r="B1214" t="s">
        <v>3069</v>
      </c>
      <c r="C1214" s="166">
        <f>SUM('New Ints'!R64:U64)</f>
        <v>772285</v>
      </c>
    </row>
    <row r="1215" spans="2:7">
      <c r="B1215" t="s">
        <v>3071</v>
      </c>
      <c r="C1215" s="164">
        <f>C1213/C1214</f>
        <v>2.7743643862045748</v>
      </c>
    </row>
    <row r="1217" spans="2:3">
      <c r="B1217" s="17" t="s">
        <v>3075</v>
      </c>
    </row>
    <row r="1218" spans="2:3">
      <c r="B1218" t="s">
        <v>181</v>
      </c>
      <c r="C1218" s="166">
        <f>C1213+D1209*1000</f>
        <v>3066019.6159999999</v>
      </c>
    </row>
    <row r="1219" spans="2:3">
      <c r="B1219" t="s">
        <v>3069</v>
      </c>
      <c r="C1219" s="166">
        <f>C1214+(F1206*1000)</f>
        <v>823837.20799999998</v>
      </c>
    </row>
    <row r="1220" spans="2:3">
      <c r="B1220" t="s">
        <v>3071</v>
      </c>
      <c r="C1220" s="164">
        <f>C1218/C1219</f>
        <v>3.7216328495811273</v>
      </c>
    </row>
    <row r="1222" spans="2:3">
      <c r="B1222" s="17" t="s">
        <v>3073</v>
      </c>
      <c r="C1222" s="178"/>
    </row>
    <row r="1223" spans="2:3">
      <c r="B1223" s="148">
        <v>2021</v>
      </c>
      <c r="C1223" s="166">
        <f>Master!G95</f>
        <v>251700</v>
      </c>
    </row>
    <row r="1224" spans="2:3">
      <c r="B1224" s="395">
        <v>2022</v>
      </c>
      <c r="C1224" s="268">
        <f>Master!H95</f>
        <v>372000</v>
      </c>
    </row>
    <row r="1225" spans="2:3">
      <c r="B1225" t="s">
        <v>68</v>
      </c>
      <c r="C1225" s="166">
        <f>SUM(C1223:C1224)</f>
        <v>623700</v>
      </c>
    </row>
    <row r="1226" spans="2:3">
      <c r="B1226" t="s">
        <v>3072</v>
      </c>
      <c r="C1226" s="57">
        <f>C1225/1000/D1209</f>
        <v>0.67542424829753678</v>
      </c>
    </row>
    <row r="1228" spans="2:3">
      <c r="B1228" s="17" t="s">
        <v>3076</v>
      </c>
    </row>
    <row r="1229" spans="2:3">
      <c r="B1229" t="s">
        <v>181</v>
      </c>
      <c r="C1229" s="166">
        <f>C1218-C1225</f>
        <v>2442319.6159999999</v>
      </c>
    </row>
    <row r="1230" spans="2:3">
      <c r="B1230" t="s">
        <v>3069</v>
      </c>
      <c r="C1230" s="166">
        <f>C1219</f>
        <v>823837.20799999998</v>
      </c>
    </row>
    <row r="1231" spans="2:3">
      <c r="B1231" t="s">
        <v>3071</v>
      </c>
      <c r="C1231" s="164">
        <f>C1229/C1230</f>
        <v>2.9645658053356581</v>
      </c>
    </row>
  </sheetData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F8095-A4A1-4246-9B4F-79FD642DD692}">
  <dimension ref="B2:H21"/>
  <sheetViews>
    <sheetView workbookViewId="0">
      <selection activeCell="F3" sqref="F3"/>
    </sheetView>
  </sheetViews>
  <sheetFormatPr defaultRowHeight="14.4"/>
  <cols>
    <col min="5" max="5" width="10.15625" customWidth="1"/>
  </cols>
  <sheetData>
    <row r="2" spans="2:8">
      <c r="B2" s="595">
        <v>45017</v>
      </c>
    </row>
    <row r="3" spans="2:8">
      <c r="C3" s="108"/>
      <c r="D3" s="476" t="s">
        <v>1626</v>
      </c>
      <c r="E3" s="573" t="s">
        <v>1634</v>
      </c>
      <c r="F3" s="573" t="s">
        <v>3146</v>
      </c>
      <c r="G3" s="573" t="s">
        <v>3147</v>
      </c>
      <c r="H3" s="573" t="s">
        <v>3148</v>
      </c>
    </row>
    <row r="4" spans="2:8">
      <c r="C4" s="17" t="s">
        <v>3150</v>
      </c>
      <c r="E4" s="178"/>
      <c r="F4" s="178"/>
      <c r="H4" s="178"/>
    </row>
    <row r="5" spans="2:8">
      <c r="D5" s="148">
        <v>120</v>
      </c>
      <c r="E5">
        <v>11990</v>
      </c>
      <c r="F5">
        <v>8993</v>
      </c>
      <c r="G5" s="15">
        <f>((6*E5)+(6*F5))/12</f>
        <v>10491.5</v>
      </c>
      <c r="H5" s="178" t="s">
        <v>3149</v>
      </c>
    </row>
    <row r="6" spans="2:8">
      <c r="D6" s="148">
        <v>300</v>
      </c>
      <c r="E6">
        <v>15990</v>
      </c>
      <c r="F6">
        <v>11993</v>
      </c>
      <c r="G6" s="15">
        <f>((6*E6)+(6*F6))/12</f>
        <v>13991.5</v>
      </c>
      <c r="H6" s="178" t="s">
        <v>3149</v>
      </c>
    </row>
    <row r="7" spans="2:8">
      <c r="D7" s="148" t="s">
        <v>3145</v>
      </c>
      <c r="E7">
        <v>22990</v>
      </c>
      <c r="F7">
        <v>17243</v>
      </c>
      <c r="G7" s="15">
        <f>((6*E7)+(6*F7))/12</f>
        <v>20116.5</v>
      </c>
      <c r="H7" s="178" t="s">
        <v>3149</v>
      </c>
    </row>
    <row r="9" spans="2:8">
      <c r="C9" s="17" t="s">
        <v>1636</v>
      </c>
    </row>
    <row r="10" spans="2:8">
      <c r="D10" s="148">
        <v>100</v>
      </c>
      <c r="E10">
        <v>9990</v>
      </c>
      <c r="F10">
        <v>7990</v>
      </c>
      <c r="G10" s="15">
        <f>((6*E10)+(6*F10))/12</f>
        <v>8990</v>
      </c>
      <c r="H10" s="178" t="s">
        <v>3149</v>
      </c>
    </row>
    <row r="11" spans="2:8">
      <c r="D11" s="148">
        <v>250</v>
      </c>
      <c r="E11">
        <v>12900</v>
      </c>
      <c r="G11">
        <f>E11</f>
        <v>12900</v>
      </c>
    </row>
    <row r="12" spans="2:8">
      <c r="D12" s="148">
        <v>400</v>
      </c>
      <c r="E12">
        <v>15990</v>
      </c>
      <c r="G12">
        <f>E12</f>
        <v>15990</v>
      </c>
    </row>
    <row r="13" spans="2:8">
      <c r="C13" s="17" t="s">
        <v>937</v>
      </c>
    </row>
    <row r="14" spans="2:8">
      <c r="D14" s="148">
        <v>100</v>
      </c>
      <c r="E14">
        <v>10900</v>
      </c>
    </row>
    <row r="15" spans="2:8">
      <c r="D15" s="148">
        <v>200</v>
      </c>
      <c r="E15">
        <v>13990</v>
      </c>
      <c r="F15">
        <v>11990</v>
      </c>
      <c r="G15" s="15">
        <f>((6*E15)+(6*F15))/12</f>
        <v>12990</v>
      </c>
      <c r="H15" s="178" t="s">
        <v>3149</v>
      </c>
    </row>
    <row r="16" spans="2:8">
      <c r="D16" s="148">
        <v>300</v>
      </c>
      <c r="E16">
        <v>16990</v>
      </c>
      <c r="F16">
        <v>13592</v>
      </c>
      <c r="G16" s="15">
        <f>((6*E16)+(6*F16))/12</f>
        <v>15291</v>
      </c>
      <c r="H16" s="178" t="s">
        <v>3149</v>
      </c>
    </row>
    <row r="17" spans="3:8">
      <c r="D17" s="148">
        <v>450</v>
      </c>
      <c r="E17">
        <v>20990</v>
      </c>
      <c r="F17">
        <v>16792</v>
      </c>
      <c r="G17" s="15">
        <f>((6*E17)+(6*F17))/12</f>
        <v>18891</v>
      </c>
      <c r="H17" s="178" t="s">
        <v>3149</v>
      </c>
    </row>
    <row r="18" spans="3:8">
      <c r="C18" s="17" t="s">
        <v>936</v>
      </c>
    </row>
    <row r="19" spans="3:8">
      <c r="D19" s="148">
        <v>100</v>
      </c>
      <c r="E19">
        <v>8990</v>
      </c>
      <c r="F19">
        <v>7990</v>
      </c>
      <c r="G19" s="15">
        <f>((6*E19)+(6*F19))/12</f>
        <v>8490</v>
      </c>
      <c r="H19" s="148" t="s">
        <v>3154</v>
      </c>
    </row>
    <row r="20" spans="3:8">
      <c r="D20" s="148">
        <v>200</v>
      </c>
      <c r="E20">
        <v>11990</v>
      </c>
      <c r="F20">
        <v>8990</v>
      </c>
      <c r="G20" s="15">
        <f>((6*E20)+(6*F20))/12</f>
        <v>10490</v>
      </c>
      <c r="H20" s="148" t="s">
        <v>3154</v>
      </c>
    </row>
    <row r="21" spans="3:8">
      <c r="D21" s="148">
        <v>300</v>
      </c>
      <c r="E21">
        <v>13990</v>
      </c>
      <c r="F21">
        <v>10990</v>
      </c>
      <c r="G21" s="15">
        <f>((6*E21)+(6*F21))/12</f>
        <v>12490</v>
      </c>
      <c r="H21" s="148" t="s">
        <v>3154</v>
      </c>
    </row>
  </sheetData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114"/>
  <sheetViews>
    <sheetView zoomScale="70" zoomScaleNormal="70" workbookViewId="0">
      <selection activeCell="B2" sqref="B2"/>
    </sheetView>
  </sheetViews>
  <sheetFormatPr defaultRowHeight="14.4"/>
  <cols>
    <col min="2" max="2" width="43.15625" customWidth="1"/>
  </cols>
  <sheetData>
    <row r="2" spans="2:3">
      <c r="B2" s="17" t="s">
        <v>1159</v>
      </c>
    </row>
    <row r="4" spans="2:3">
      <c r="B4" t="s">
        <v>1160</v>
      </c>
    </row>
    <row r="5" spans="2:3">
      <c r="B5" t="s">
        <v>1161</v>
      </c>
    </row>
    <row r="7" spans="2:3">
      <c r="B7" t="s">
        <v>1162</v>
      </c>
    </row>
    <row r="8" spans="2:3">
      <c r="B8" t="s">
        <v>1163</v>
      </c>
    </row>
    <row r="9" spans="2:3">
      <c r="B9" t="s">
        <v>1164</v>
      </c>
    </row>
    <row r="10" spans="2:3">
      <c r="C10" t="s">
        <v>1165</v>
      </c>
    </row>
    <row r="11" spans="2:3">
      <c r="C11" t="s">
        <v>1166</v>
      </c>
    </row>
    <row r="12" spans="2:3">
      <c r="C12" t="s">
        <v>211</v>
      </c>
    </row>
    <row r="13" spans="2:3">
      <c r="B13" t="s">
        <v>1167</v>
      </c>
    </row>
    <row r="14" spans="2:3">
      <c r="B14" t="s">
        <v>1168</v>
      </c>
    </row>
    <row r="15" spans="2:3">
      <c r="C15" t="s">
        <v>1169</v>
      </c>
    </row>
    <row r="16" spans="2:3">
      <c r="B16" t="s">
        <v>1170</v>
      </c>
    </row>
    <row r="17" spans="2:3">
      <c r="B17" t="s">
        <v>1171</v>
      </c>
    </row>
    <row r="19" spans="2:3">
      <c r="B19" t="s">
        <v>1172</v>
      </c>
    </row>
    <row r="20" spans="2:3">
      <c r="C20" t="s">
        <v>1174</v>
      </c>
    </row>
    <row r="21" spans="2:3">
      <c r="C21" t="s">
        <v>1175</v>
      </c>
    </row>
    <row r="22" spans="2:3">
      <c r="B22" s="249" t="s">
        <v>1173</v>
      </c>
    </row>
    <row r="23" spans="2:3">
      <c r="C23" t="s">
        <v>1176</v>
      </c>
    </row>
    <row r="25" spans="2:3">
      <c r="B25" t="s">
        <v>1177</v>
      </c>
    </row>
    <row r="26" spans="2:3">
      <c r="B26" t="s">
        <v>1178</v>
      </c>
    </row>
    <row r="27" spans="2:3">
      <c r="B27" t="s">
        <v>1179</v>
      </c>
    </row>
    <row r="29" spans="2:3">
      <c r="B29" t="s">
        <v>1180</v>
      </c>
    </row>
    <row r="31" spans="2:3">
      <c r="B31" t="s">
        <v>1181</v>
      </c>
    </row>
    <row r="32" spans="2:3">
      <c r="C32" t="s">
        <v>1184</v>
      </c>
    </row>
    <row r="33" spans="2:3">
      <c r="C33" t="s">
        <v>1182</v>
      </c>
    </row>
    <row r="34" spans="2:3">
      <c r="B34" t="s">
        <v>1183</v>
      </c>
    </row>
    <row r="36" spans="2:3">
      <c r="B36" t="s">
        <v>1225</v>
      </c>
    </row>
    <row r="38" spans="2:3">
      <c r="B38" t="s">
        <v>1185</v>
      </c>
    </row>
    <row r="40" spans="2:3">
      <c r="B40" s="17" t="s">
        <v>1231</v>
      </c>
    </row>
    <row r="42" spans="2:3">
      <c r="B42" t="s">
        <v>1226</v>
      </c>
    </row>
    <row r="43" spans="2:3">
      <c r="C43" t="s">
        <v>1227</v>
      </c>
    </row>
    <row r="44" spans="2:3">
      <c r="C44" t="s">
        <v>1228</v>
      </c>
    </row>
    <row r="46" spans="2:3">
      <c r="B46" t="s">
        <v>1229</v>
      </c>
    </row>
    <row r="48" spans="2:3">
      <c r="B48" t="s">
        <v>1230</v>
      </c>
    </row>
    <row r="50" spans="2:3">
      <c r="B50" t="s">
        <v>1232</v>
      </c>
    </row>
    <row r="51" spans="2:3">
      <c r="C51" t="s">
        <v>1233</v>
      </c>
    </row>
    <row r="53" spans="2:3">
      <c r="B53" t="s">
        <v>1235</v>
      </c>
      <c r="C53">
        <v>2014</v>
      </c>
    </row>
    <row r="54" spans="2:3">
      <c r="B54" t="s">
        <v>1234</v>
      </c>
      <c r="C54">
        <v>470</v>
      </c>
    </row>
    <row r="55" spans="2:3">
      <c r="B55" t="s">
        <v>1236</v>
      </c>
      <c r="C55">
        <v>5000</v>
      </c>
    </row>
    <row r="56" spans="2:3">
      <c r="B56" t="s">
        <v>1237</v>
      </c>
      <c r="C56" s="164">
        <f>C55/C54</f>
        <v>10.638297872340425</v>
      </c>
    </row>
    <row r="58" spans="2:3">
      <c r="B58" t="s">
        <v>1238</v>
      </c>
    </row>
    <row r="59" spans="2:3">
      <c r="B59" t="s">
        <v>1239</v>
      </c>
    </row>
    <row r="61" spans="2:3">
      <c r="B61" t="s">
        <v>1240</v>
      </c>
      <c r="C61">
        <v>500</v>
      </c>
    </row>
    <row r="62" spans="2:3">
      <c r="B62" t="s">
        <v>1241</v>
      </c>
      <c r="C62">
        <f>C55-C61</f>
        <v>4500</v>
      </c>
    </row>
    <row r="64" spans="2:3">
      <c r="B64" t="s">
        <v>1242</v>
      </c>
    </row>
    <row r="65" spans="2:3">
      <c r="B65" t="s">
        <v>291</v>
      </c>
      <c r="C65">
        <v>1400</v>
      </c>
    </row>
    <row r="66" spans="2:3">
      <c r="B66" s="108" t="s">
        <v>1243</v>
      </c>
      <c r="C66" s="108">
        <v>650</v>
      </c>
    </row>
    <row r="67" spans="2:3">
      <c r="C67">
        <f>C65+C66</f>
        <v>2050</v>
      </c>
    </row>
    <row r="69" spans="2:3">
      <c r="B69" t="s">
        <v>1244</v>
      </c>
      <c r="C69">
        <f>C62-C67</f>
        <v>2450</v>
      </c>
    </row>
    <row r="70" spans="2:3">
      <c r="B70" s="108" t="s">
        <v>1245</v>
      </c>
      <c r="C70" s="108">
        <v>170</v>
      </c>
    </row>
    <row r="71" spans="2:3">
      <c r="C71">
        <f>C69-C70</f>
        <v>2280</v>
      </c>
    </row>
    <row r="72" spans="2:3">
      <c r="B72" t="s">
        <v>1246</v>
      </c>
    </row>
    <row r="73" spans="2:3">
      <c r="B73" t="s">
        <v>1247</v>
      </c>
    </row>
    <row r="75" spans="2:3">
      <c r="B75" t="s">
        <v>1248</v>
      </c>
    </row>
    <row r="76" spans="2:3">
      <c r="B76" t="s">
        <v>1249</v>
      </c>
    </row>
    <row r="78" spans="2:3">
      <c r="B78" s="352" t="s">
        <v>1277</v>
      </c>
    </row>
    <row r="80" spans="2:3">
      <c r="B80" t="s">
        <v>1278</v>
      </c>
    </row>
    <row r="81" spans="2:3">
      <c r="B81" t="s">
        <v>1279</v>
      </c>
    </row>
    <row r="82" spans="2:3">
      <c r="C82" t="s">
        <v>1297</v>
      </c>
    </row>
    <row r="83" spans="2:3">
      <c r="C83" t="s">
        <v>1298</v>
      </c>
    </row>
    <row r="84" spans="2:3">
      <c r="B84" s="17" t="s">
        <v>1281</v>
      </c>
    </row>
    <row r="85" spans="2:3">
      <c r="B85" t="s">
        <v>1280</v>
      </c>
    </row>
    <row r="87" spans="2:3">
      <c r="B87" t="s">
        <v>1282</v>
      </c>
      <c r="C87" t="s">
        <v>1287</v>
      </c>
    </row>
    <row r="88" spans="2:3">
      <c r="B88" t="s">
        <v>1283</v>
      </c>
    </row>
    <row r="89" spans="2:3">
      <c r="B89" t="s">
        <v>1284</v>
      </c>
    </row>
    <row r="91" spans="2:3">
      <c r="B91" t="s">
        <v>1285</v>
      </c>
    </row>
    <row r="92" spans="2:3">
      <c r="B92" t="s">
        <v>1286</v>
      </c>
    </row>
    <row r="93" spans="2:3">
      <c r="B93" t="s">
        <v>1288</v>
      </c>
    </row>
    <row r="95" spans="2:3">
      <c r="B95" t="s">
        <v>1289</v>
      </c>
      <c r="C95" t="s">
        <v>1290</v>
      </c>
    </row>
    <row r="97" spans="2:3">
      <c r="B97" t="s">
        <v>1291</v>
      </c>
    </row>
    <row r="98" spans="2:3">
      <c r="B98" t="s">
        <v>1292</v>
      </c>
    </row>
    <row r="100" spans="2:3">
      <c r="B100" t="s">
        <v>1293</v>
      </c>
    </row>
    <row r="101" spans="2:3">
      <c r="B101" t="s">
        <v>1294</v>
      </c>
    </row>
    <row r="102" spans="2:3">
      <c r="C102" t="s">
        <v>1304</v>
      </c>
    </row>
    <row r="104" spans="2:3">
      <c r="B104" t="s">
        <v>1295</v>
      </c>
    </row>
    <row r="105" spans="2:3">
      <c r="B105" t="s">
        <v>1296</v>
      </c>
    </row>
    <row r="107" spans="2:3">
      <c r="B107" t="s">
        <v>1299</v>
      </c>
    </row>
    <row r="109" spans="2:3">
      <c r="B109" t="s">
        <v>1300</v>
      </c>
    </row>
    <row r="110" spans="2:3">
      <c r="C110" t="s">
        <v>1301</v>
      </c>
    </row>
    <row r="112" spans="2:3">
      <c r="B112" t="s">
        <v>1302</v>
      </c>
    </row>
    <row r="114" spans="2:2">
      <c r="B114" t="s">
        <v>1303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170"/>
  <sheetViews>
    <sheetView topLeftCell="A82" workbookViewId="0">
      <selection activeCell="A142" sqref="A142"/>
    </sheetView>
  </sheetViews>
  <sheetFormatPr defaultRowHeight="14.4"/>
  <cols>
    <col min="1" max="1" width="26.83984375" bestFit="1" customWidth="1"/>
  </cols>
  <sheetData>
    <row r="2" spans="2:2">
      <c r="B2" s="17" t="s">
        <v>379</v>
      </c>
    </row>
    <row r="3" spans="2:2">
      <c r="B3" t="s">
        <v>380</v>
      </c>
    </row>
    <row r="4" spans="2:2">
      <c r="B4" t="s">
        <v>381</v>
      </c>
    </row>
    <row r="5" spans="2:2">
      <c r="B5" t="s">
        <v>382</v>
      </c>
    </row>
    <row r="8" spans="2:2">
      <c r="B8" s="17" t="s">
        <v>294</v>
      </c>
    </row>
    <row r="9" spans="2:2">
      <c r="B9" t="s">
        <v>360</v>
      </c>
    </row>
    <row r="10" spans="2:2">
      <c r="B10" t="s">
        <v>361</v>
      </c>
    </row>
    <row r="12" spans="2:2">
      <c r="B12" s="17" t="s">
        <v>347</v>
      </c>
    </row>
    <row r="13" spans="2:2">
      <c r="B13" t="s">
        <v>348</v>
      </c>
    </row>
    <row r="14" spans="2:2">
      <c r="B14" t="s">
        <v>351</v>
      </c>
    </row>
    <row r="16" spans="2:2">
      <c r="B16" t="s">
        <v>349</v>
      </c>
    </row>
    <row r="17" spans="2:2">
      <c r="B17" t="s">
        <v>354</v>
      </c>
    </row>
    <row r="18" spans="2:2">
      <c r="B18" t="s">
        <v>355</v>
      </c>
    </row>
    <row r="19" spans="2:2">
      <c r="B19" t="s">
        <v>356</v>
      </c>
    </row>
    <row r="20" spans="2:2">
      <c r="B20" t="s">
        <v>357</v>
      </c>
    </row>
    <row r="21" spans="2:2">
      <c r="B21" t="s">
        <v>358</v>
      </c>
    </row>
    <row r="23" spans="2:2">
      <c r="B23" t="s">
        <v>350</v>
      </c>
    </row>
    <row r="24" spans="2:2">
      <c r="B24" t="s">
        <v>352</v>
      </c>
    </row>
    <row r="25" spans="2:2">
      <c r="B25" t="s">
        <v>353</v>
      </c>
    </row>
    <row r="27" spans="2:2">
      <c r="B27" s="17" t="s">
        <v>337</v>
      </c>
    </row>
    <row r="28" spans="2:2">
      <c r="B28" t="s">
        <v>297</v>
      </c>
    </row>
    <row r="29" spans="2:2">
      <c r="B29" t="s">
        <v>298</v>
      </c>
    </row>
    <row r="30" spans="2:2">
      <c r="B30" t="s">
        <v>299</v>
      </c>
    </row>
    <row r="31" spans="2:2">
      <c r="B31" t="s">
        <v>300</v>
      </c>
    </row>
    <row r="32" spans="2:2">
      <c r="B32" t="s">
        <v>301</v>
      </c>
    </row>
    <row r="33" spans="2:2">
      <c r="B33" t="s">
        <v>302</v>
      </c>
    </row>
    <row r="34" spans="2:2">
      <c r="B34" t="s">
        <v>303</v>
      </c>
    </row>
    <row r="35" spans="2:2">
      <c r="B35" t="s">
        <v>359</v>
      </c>
    </row>
    <row r="37" spans="2:2">
      <c r="B37" t="s">
        <v>304</v>
      </c>
    </row>
    <row r="38" spans="2:2">
      <c r="B38" t="s">
        <v>305</v>
      </c>
    </row>
    <row r="39" spans="2:2">
      <c r="B39" t="s">
        <v>306</v>
      </c>
    </row>
    <row r="40" spans="2:2">
      <c r="B40" t="s">
        <v>307</v>
      </c>
    </row>
    <row r="41" spans="2:2">
      <c r="B41" t="s">
        <v>308</v>
      </c>
    </row>
    <row r="43" spans="2:2">
      <c r="B43" t="s">
        <v>309</v>
      </c>
    </row>
    <row r="44" spans="2:2">
      <c r="B44" t="s">
        <v>310</v>
      </c>
    </row>
    <row r="45" spans="2:2">
      <c r="B45" t="s">
        <v>311</v>
      </c>
    </row>
    <row r="46" spans="2:2">
      <c r="B46" t="s">
        <v>312</v>
      </c>
    </row>
    <row r="48" spans="2:2">
      <c r="B48" t="s">
        <v>313</v>
      </c>
    </row>
    <row r="50" spans="2:6">
      <c r="B50" t="s">
        <v>314</v>
      </c>
    </row>
    <row r="52" spans="2:6">
      <c r="B52" s="148" t="s">
        <v>315</v>
      </c>
      <c r="D52" s="14">
        <v>39814</v>
      </c>
      <c r="E52" t="s">
        <v>316</v>
      </c>
    </row>
    <row r="53" spans="2:6">
      <c r="B53" s="148" t="s">
        <v>319</v>
      </c>
      <c r="D53" s="14"/>
    </row>
    <row r="54" spans="2:6">
      <c r="B54" s="148"/>
      <c r="D54" s="14"/>
    </row>
    <row r="55" spans="2:6">
      <c r="B55" s="148"/>
      <c r="D55" s="14" t="s">
        <v>317</v>
      </c>
      <c r="F55" t="s">
        <v>318</v>
      </c>
    </row>
    <row r="57" spans="2:6">
      <c r="B57" s="17" t="s">
        <v>212</v>
      </c>
    </row>
    <row r="58" spans="2:6">
      <c r="B58" t="s">
        <v>322</v>
      </c>
    </row>
    <row r="59" spans="2:6">
      <c r="B59" t="s">
        <v>326</v>
      </c>
    </row>
    <row r="60" spans="2:6">
      <c r="B60" t="s">
        <v>323</v>
      </c>
    </row>
    <row r="61" spans="2:6">
      <c r="B61" t="s">
        <v>324</v>
      </c>
    </row>
    <row r="62" spans="2:6">
      <c r="B62" t="s">
        <v>325</v>
      </c>
    </row>
    <row r="63" spans="2:6">
      <c r="B63" t="s">
        <v>327</v>
      </c>
    </row>
    <row r="64" spans="2:6">
      <c r="B64" t="s">
        <v>328</v>
      </c>
    </row>
    <row r="65" spans="2:2">
      <c r="B65" t="s">
        <v>329</v>
      </c>
    </row>
    <row r="66" spans="2:2">
      <c r="B66" t="s">
        <v>330</v>
      </c>
    </row>
    <row r="67" spans="2:2">
      <c r="B67" t="s">
        <v>331</v>
      </c>
    </row>
    <row r="69" spans="2:2">
      <c r="B69" s="17" t="s">
        <v>332</v>
      </c>
    </row>
    <row r="70" spans="2:2">
      <c r="B70" t="s">
        <v>334</v>
      </c>
    </row>
    <row r="71" spans="2:2">
      <c r="B71" t="s">
        <v>333</v>
      </c>
    </row>
    <row r="72" spans="2:2">
      <c r="B72" t="s">
        <v>335</v>
      </c>
    </row>
    <row r="73" spans="2:2">
      <c r="B73" t="s">
        <v>336</v>
      </c>
    </row>
    <row r="75" spans="2:2">
      <c r="B75" s="17" t="s">
        <v>338</v>
      </c>
    </row>
    <row r="76" spans="2:2">
      <c r="B76" t="s">
        <v>339</v>
      </c>
    </row>
    <row r="77" spans="2:2">
      <c r="B77" t="s">
        <v>340</v>
      </c>
    </row>
    <row r="78" spans="2:2">
      <c r="B78" t="s">
        <v>341</v>
      </c>
    </row>
    <row r="79" spans="2:2">
      <c r="B79" t="s">
        <v>342</v>
      </c>
    </row>
    <row r="81" spans="2:12">
      <c r="B81" s="17" t="s">
        <v>231</v>
      </c>
    </row>
    <row r="82" spans="2:12">
      <c r="B82" t="s">
        <v>343</v>
      </c>
    </row>
    <row r="83" spans="2:12">
      <c r="B83" t="s">
        <v>344</v>
      </c>
    </row>
    <row r="84" spans="2:12">
      <c r="B84" t="s">
        <v>345</v>
      </c>
    </row>
    <row r="85" spans="2:12">
      <c r="B85" t="s">
        <v>346</v>
      </c>
    </row>
    <row r="88" spans="2:12">
      <c r="B88" s="17" t="s">
        <v>260</v>
      </c>
      <c r="L88" s="17" t="s">
        <v>217</v>
      </c>
    </row>
    <row r="89" spans="2:12">
      <c r="B89" t="s">
        <v>295</v>
      </c>
      <c r="L89" t="s">
        <v>214</v>
      </c>
    </row>
    <row r="90" spans="2:12">
      <c r="B90" t="s">
        <v>61</v>
      </c>
      <c r="L90" t="s">
        <v>215</v>
      </c>
    </row>
    <row r="91" spans="2:12">
      <c r="B91" t="s">
        <v>59</v>
      </c>
      <c r="L91" t="s">
        <v>216</v>
      </c>
    </row>
    <row r="92" spans="2:12">
      <c r="B92" t="s">
        <v>60</v>
      </c>
      <c r="L92" t="s">
        <v>38</v>
      </c>
    </row>
    <row r="93" spans="2:12">
      <c r="B93" t="s">
        <v>145</v>
      </c>
    </row>
    <row r="94" spans="2:12">
      <c r="B94" t="s">
        <v>296</v>
      </c>
    </row>
    <row r="95" spans="2:12">
      <c r="B95" s="59" t="s">
        <v>261</v>
      </c>
    </row>
    <row r="98" spans="1:15">
      <c r="B98" s="17" t="s">
        <v>185</v>
      </c>
    </row>
    <row r="99" spans="1:15">
      <c r="B99" t="s">
        <v>186</v>
      </c>
    </row>
    <row r="100" spans="1:15">
      <c r="B100" t="s">
        <v>187</v>
      </c>
    </row>
    <row r="101" spans="1:15">
      <c r="B101" t="s">
        <v>188</v>
      </c>
    </row>
    <row r="106" spans="1:15">
      <c r="A106" t="s">
        <v>207</v>
      </c>
      <c r="B106" s="661">
        <v>2010</v>
      </c>
      <c r="C106" s="661"/>
      <c r="D106" s="661"/>
      <c r="E106" s="661"/>
      <c r="F106" s="100"/>
      <c r="G106" s="661">
        <v>2011</v>
      </c>
      <c r="H106" s="661"/>
      <c r="I106" s="661"/>
      <c r="J106" s="661"/>
      <c r="L106" s="661">
        <v>2012</v>
      </c>
      <c r="M106" s="661"/>
      <c r="N106" s="661"/>
      <c r="O106" s="661"/>
    </row>
    <row r="107" spans="1:15">
      <c r="B107" s="101"/>
      <c r="C107" s="101"/>
      <c r="D107" s="102"/>
      <c r="E107" s="103"/>
      <c r="F107" s="103"/>
      <c r="G107" s="101"/>
      <c r="H107" s="101"/>
      <c r="I107" s="102"/>
      <c r="J107" s="103"/>
    </row>
    <row r="108" spans="1:15">
      <c r="B108" s="104" t="s">
        <v>189</v>
      </c>
      <c r="C108" s="105" t="s">
        <v>190</v>
      </c>
      <c r="D108" s="106" t="s">
        <v>191</v>
      </c>
      <c r="E108" s="104" t="s">
        <v>192</v>
      </c>
      <c r="F108" s="107"/>
      <c r="G108" s="104" t="s">
        <v>189</v>
      </c>
      <c r="H108" s="105" t="s">
        <v>190</v>
      </c>
      <c r="I108" s="106" t="s">
        <v>191</v>
      </c>
      <c r="J108" s="104" t="s">
        <v>192</v>
      </c>
      <c r="L108" s="104" t="s">
        <v>189</v>
      </c>
    </row>
    <row r="109" spans="1:15">
      <c r="A109" t="s">
        <v>193</v>
      </c>
      <c r="B109">
        <v>10847.4</v>
      </c>
      <c r="C109">
        <v>11077.5</v>
      </c>
      <c r="D109">
        <v>11397.8</v>
      </c>
      <c r="E109">
        <v>11910.5</v>
      </c>
      <c r="G109">
        <v>12214.7</v>
      </c>
      <c r="H109">
        <v>12442.1</v>
      </c>
      <c r="I109">
        <v>12253.1</v>
      </c>
      <c r="J109">
        <v>12674.4</v>
      </c>
      <c r="L109">
        <v>12809.1</v>
      </c>
    </row>
    <row r="111" spans="1:15">
      <c r="A111" t="s">
        <v>194</v>
      </c>
      <c r="B111">
        <v>1990.9</v>
      </c>
      <c r="C111">
        <v>1966.9</v>
      </c>
      <c r="D111">
        <v>1952.8</v>
      </c>
      <c r="E111">
        <v>1939.3</v>
      </c>
      <c r="G111">
        <v>1920.2</v>
      </c>
      <c r="H111">
        <v>1903.8</v>
      </c>
      <c r="I111">
        <v>1871.4</v>
      </c>
      <c r="J111">
        <v>1848.1</v>
      </c>
      <c r="L111">
        <v>1810.3</v>
      </c>
    </row>
    <row r="112" spans="1:15">
      <c r="A112" t="s">
        <v>195</v>
      </c>
      <c r="B112">
        <v>800</v>
      </c>
      <c r="C112">
        <v>811</v>
      </c>
      <c r="D112">
        <v>830.6</v>
      </c>
      <c r="E112">
        <v>836</v>
      </c>
      <c r="G112">
        <v>834.9</v>
      </c>
      <c r="H112">
        <v>857.1</v>
      </c>
      <c r="I112">
        <v>875.1</v>
      </c>
      <c r="J112">
        <v>887.4</v>
      </c>
      <c r="L112">
        <v>894.9</v>
      </c>
    </row>
    <row r="113" spans="1:13">
      <c r="A113" t="s">
        <v>196</v>
      </c>
      <c r="B113">
        <v>8.5</v>
      </c>
      <c r="C113">
        <v>7.6</v>
      </c>
      <c r="D113">
        <v>7</v>
      </c>
      <c r="E113">
        <v>6.6</v>
      </c>
      <c r="G113">
        <v>6.3</v>
      </c>
      <c r="H113">
        <v>6</v>
      </c>
      <c r="I113">
        <v>6</v>
      </c>
      <c r="J113">
        <v>5.8</v>
      </c>
      <c r="L113">
        <v>5.7</v>
      </c>
    </row>
    <row r="114" spans="1:13">
      <c r="A114" t="s">
        <v>197</v>
      </c>
      <c r="B114">
        <v>783.5</v>
      </c>
      <c r="C114">
        <v>795.3</v>
      </c>
      <c r="D114">
        <v>815.7</v>
      </c>
      <c r="E114">
        <v>821.5</v>
      </c>
      <c r="G114">
        <v>820.8</v>
      </c>
      <c r="H114">
        <v>844.2</v>
      </c>
      <c r="I114">
        <v>864.9</v>
      </c>
      <c r="J114">
        <v>878.1</v>
      </c>
      <c r="L114">
        <v>886</v>
      </c>
    </row>
    <row r="115" spans="1:13">
      <c r="A115" t="s">
        <v>198</v>
      </c>
      <c r="B115">
        <v>8</v>
      </c>
      <c r="C115">
        <v>8</v>
      </c>
      <c r="D115">
        <v>7.9</v>
      </c>
      <c r="E115">
        <v>7.9</v>
      </c>
      <c r="G115">
        <v>7.8</v>
      </c>
      <c r="H115">
        <v>6.8</v>
      </c>
      <c r="I115">
        <v>4.2</v>
      </c>
      <c r="J115">
        <v>3.5</v>
      </c>
      <c r="L115">
        <v>3.2</v>
      </c>
    </row>
    <row r="117" spans="1:13">
      <c r="A117" t="s">
        <v>199</v>
      </c>
      <c r="B117">
        <v>7759.6</v>
      </c>
      <c r="C117">
        <v>7992.7</v>
      </c>
      <c r="D117">
        <v>8290.7999999999993</v>
      </c>
      <c r="E117">
        <v>8794</v>
      </c>
      <c r="G117">
        <v>9100.5</v>
      </c>
      <c r="H117">
        <v>9308.2999999999993</v>
      </c>
      <c r="I117">
        <v>9125.5</v>
      </c>
      <c r="J117">
        <v>9548.1</v>
      </c>
      <c r="L117">
        <v>9703.2999999999993</v>
      </c>
    </row>
    <row r="118" spans="1:13">
      <c r="A118" t="s">
        <v>200</v>
      </c>
      <c r="B118">
        <v>5531.7</v>
      </c>
      <c r="C118">
        <v>5640</v>
      </c>
      <c r="D118">
        <v>5805.3</v>
      </c>
      <c r="E118">
        <v>6179.3</v>
      </c>
      <c r="G118">
        <v>6448.1</v>
      </c>
      <c r="H118">
        <v>6586</v>
      </c>
      <c r="I118">
        <v>6326</v>
      </c>
      <c r="J118">
        <v>6732.7</v>
      </c>
      <c r="L118">
        <v>6922.7</v>
      </c>
    </row>
    <row r="119" spans="1:13">
      <c r="A119" t="s">
        <v>201</v>
      </c>
      <c r="B119">
        <v>2228</v>
      </c>
      <c r="C119">
        <v>2352.6999999999998</v>
      </c>
      <c r="D119">
        <v>2485.4</v>
      </c>
      <c r="E119">
        <v>2614.6999999999998</v>
      </c>
      <c r="G119">
        <v>2652.5</v>
      </c>
      <c r="H119">
        <v>2722.3</v>
      </c>
      <c r="I119">
        <v>2799.5</v>
      </c>
      <c r="J119">
        <v>2815.4</v>
      </c>
      <c r="L119">
        <v>2780.6</v>
      </c>
    </row>
    <row r="121" spans="1:13">
      <c r="A121" t="s">
        <v>202</v>
      </c>
      <c r="B121">
        <v>296.89999999999998</v>
      </c>
      <c r="C121">
        <v>306.89999999999998</v>
      </c>
      <c r="D121">
        <v>323.60000000000002</v>
      </c>
      <c r="E121">
        <v>341.2</v>
      </c>
      <c r="G121">
        <v>359.1</v>
      </c>
      <c r="H121">
        <v>372.9</v>
      </c>
      <c r="I121">
        <v>381.1</v>
      </c>
      <c r="J121">
        <v>390.8</v>
      </c>
      <c r="L121">
        <v>400.6</v>
      </c>
    </row>
    <row r="122" spans="1:13">
      <c r="A122" t="s">
        <v>203</v>
      </c>
      <c r="B122">
        <v>8.6</v>
      </c>
      <c r="C122">
        <v>8.4</v>
      </c>
      <c r="D122">
        <v>5.7</v>
      </c>
      <c r="E122">
        <v>5.3</v>
      </c>
      <c r="G122">
        <v>5.0999999999999996</v>
      </c>
      <c r="H122">
        <v>5.0999999999999996</v>
      </c>
      <c r="I122">
        <v>4.9000000000000004</v>
      </c>
      <c r="J122">
        <v>5.2</v>
      </c>
      <c r="L122">
        <v>5.3</v>
      </c>
    </row>
    <row r="123" spans="1:13">
      <c r="B123">
        <v>10856.1</v>
      </c>
      <c r="C123">
        <v>11085.8</v>
      </c>
      <c r="D123">
        <v>11403.5</v>
      </c>
      <c r="E123">
        <v>11915.8</v>
      </c>
      <c r="G123">
        <v>12219.8</v>
      </c>
      <c r="H123">
        <v>12447.1</v>
      </c>
      <c r="I123">
        <v>12258</v>
      </c>
      <c r="J123">
        <v>12679.6</v>
      </c>
      <c r="L123">
        <v>12814.4</v>
      </c>
    </row>
    <row r="125" spans="1:13">
      <c r="A125" s="17" t="s">
        <v>204</v>
      </c>
    </row>
    <row r="126" spans="1:13">
      <c r="A126" t="s">
        <v>205</v>
      </c>
      <c r="B126">
        <v>619.9</v>
      </c>
      <c r="C126">
        <v>619</v>
      </c>
      <c r="D126">
        <v>617.29999999999995</v>
      </c>
      <c r="E126">
        <v>621.9</v>
      </c>
      <c r="G126">
        <v>624.6</v>
      </c>
      <c r="H126">
        <v>634.70000000000005</v>
      </c>
      <c r="I126">
        <v>641.9</v>
      </c>
      <c r="J126">
        <v>647.20000000000005</v>
      </c>
      <c r="L126">
        <v>658.8</v>
      </c>
      <c r="M126" s="57">
        <f>L126/L$129</f>
        <v>0.23884276547148603</v>
      </c>
    </row>
    <row r="127" spans="1:13">
      <c r="A127" t="s">
        <v>206</v>
      </c>
      <c r="B127">
        <v>653.9</v>
      </c>
      <c r="C127">
        <v>676.2</v>
      </c>
      <c r="D127">
        <v>689.7</v>
      </c>
      <c r="E127">
        <v>698</v>
      </c>
      <c r="G127">
        <v>714</v>
      </c>
      <c r="H127">
        <v>742.7</v>
      </c>
      <c r="I127">
        <v>760.3</v>
      </c>
      <c r="J127">
        <v>766.3</v>
      </c>
      <c r="L127">
        <v>781.6</v>
      </c>
      <c r="M127" s="57">
        <f>L127/L$129</f>
        <v>0.28336294094188447</v>
      </c>
    </row>
    <row r="128" spans="1:13">
      <c r="A128" t="s">
        <v>130</v>
      </c>
      <c r="B128">
        <v>893.5</v>
      </c>
      <c r="C128">
        <v>898.90000000000009</v>
      </c>
      <c r="D128">
        <v>894.9</v>
      </c>
      <c r="E128">
        <v>897.7</v>
      </c>
      <c r="G128">
        <v>903</v>
      </c>
      <c r="H128">
        <v>914.4</v>
      </c>
      <c r="I128">
        <v>919.9</v>
      </c>
      <c r="J128">
        <v>917.3</v>
      </c>
      <c r="L128">
        <v>920.7</v>
      </c>
      <c r="M128" s="57">
        <f>L128/L$129</f>
        <v>0.33379255338433095</v>
      </c>
    </row>
    <row r="129" spans="1:12">
      <c r="A129" t="s">
        <v>616</v>
      </c>
      <c r="L129">
        <v>2758.3</v>
      </c>
    </row>
    <row r="131" spans="1:12">
      <c r="A131" s="17" t="s">
        <v>210</v>
      </c>
    </row>
    <row r="132" spans="1:12">
      <c r="A132" t="s">
        <v>171</v>
      </c>
      <c r="E132">
        <v>253</v>
      </c>
    </row>
    <row r="133" spans="1:12">
      <c r="A133" s="17"/>
    </row>
    <row r="134" spans="1:12">
      <c r="A134" s="17"/>
    </row>
    <row r="136" spans="1:12">
      <c r="A136" t="s">
        <v>208</v>
      </c>
      <c r="B136" t="s">
        <v>209</v>
      </c>
    </row>
    <row r="143" spans="1:12">
      <c r="A143" s="659">
        <v>45292</v>
      </c>
    </row>
    <row r="144" spans="1:12">
      <c r="A144" t="s">
        <v>3337</v>
      </c>
    </row>
    <row r="145" spans="1:1">
      <c r="A145" t="s">
        <v>3338</v>
      </c>
    </row>
    <row r="146" spans="1:1">
      <c r="A146" t="s">
        <v>3339</v>
      </c>
    </row>
    <row r="147" spans="1:1">
      <c r="A147" t="s">
        <v>3340</v>
      </c>
    </row>
    <row r="148" spans="1:1">
      <c r="A148" t="s">
        <v>3341</v>
      </c>
    </row>
    <row r="149" spans="1:1">
      <c r="A149" t="s">
        <v>3342</v>
      </c>
    </row>
    <row r="159" spans="1:1">
      <c r="A159" s="247"/>
    </row>
    <row r="160" spans="1:1">
      <c r="A160" s="247"/>
    </row>
    <row r="161" spans="1:11">
      <c r="A161" s="247"/>
    </row>
    <row r="162" spans="1:11">
      <c r="A162" s="247"/>
    </row>
    <row r="163" spans="1:11">
      <c r="A163" s="247"/>
    </row>
    <row r="170" spans="1:11">
      <c r="K170" s="247"/>
    </row>
  </sheetData>
  <mergeCells count="3">
    <mergeCell ref="B106:E106"/>
    <mergeCell ref="G106:J106"/>
    <mergeCell ref="L106:O10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406"/>
  <sheetViews>
    <sheetView topLeftCell="A175" zoomScale="70" zoomScaleNormal="70" workbookViewId="0">
      <selection activeCell="A299" sqref="A299:XFD299"/>
    </sheetView>
  </sheetViews>
  <sheetFormatPr defaultRowHeight="14.4" outlineLevelRow="1" outlineLevelCol="1"/>
  <cols>
    <col min="2" max="2" width="30.83984375" customWidth="1"/>
    <col min="3" max="3" width="12.578125" hidden="1" customWidth="1" outlineLevel="1"/>
    <col min="4" max="9" width="11" hidden="1" customWidth="1" outlineLevel="1"/>
    <col min="10" max="14" width="12.15625" hidden="1" customWidth="1" outlineLevel="1"/>
    <col min="15" max="15" width="13.15625" customWidth="1" collapsed="1"/>
    <col min="16" max="24" width="12.15625" customWidth="1"/>
    <col min="25" max="26" width="13.15625" bestFit="1" customWidth="1"/>
    <col min="27" max="27" width="12.83984375" bestFit="1" customWidth="1"/>
    <col min="28" max="28" width="13.15625" bestFit="1" customWidth="1"/>
  </cols>
  <sheetData>
    <row r="2" spans="2:28">
      <c r="B2" s="20" t="s">
        <v>132</v>
      </c>
      <c r="C2" s="20">
        <f t="shared" ref="C2:J2" si="0">D2-1</f>
        <v>2001</v>
      </c>
      <c r="D2" s="20">
        <f t="shared" si="0"/>
        <v>2002</v>
      </c>
      <c r="E2" s="20">
        <f t="shared" si="0"/>
        <v>2003</v>
      </c>
      <c r="F2" s="20">
        <f t="shared" si="0"/>
        <v>2004</v>
      </c>
      <c r="G2" s="20">
        <f t="shared" si="0"/>
        <v>2005</v>
      </c>
      <c r="H2" s="20">
        <f t="shared" si="0"/>
        <v>2006</v>
      </c>
      <c r="I2" s="20">
        <f t="shared" si="0"/>
        <v>2007</v>
      </c>
      <c r="J2" s="20">
        <f t="shared" si="0"/>
        <v>2008</v>
      </c>
      <c r="K2" s="20">
        <f>L2-1</f>
        <v>2009</v>
      </c>
      <c r="L2" s="20">
        <v>2010</v>
      </c>
      <c r="M2" s="20">
        <f>L2+1</f>
        <v>2011</v>
      </c>
      <c r="N2" s="20">
        <f t="shared" ref="N2:AB2" si="1">M2+1</f>
        <v>2012</v>
      </c>
      <c r="O2" s="20">
        <f t="shared" si="1"/>
        <v>2013</v>
      </c>
      <c r="P2" s="20">
        <f t="shared" si="1"/>
        <v>2014</v>
      </c>
      <c r="Q2" s="20">
        <f t="shared" si="1"/>
        <v>2015</v>
      </c>
      <c r="R2" s="20">
        <f t="shared" si="1"/>
        <v>2016</v>
      </c>
      <c r="S2" s="20">
        <f t="shared" si="1"/>
        <v>2017</v>
      </c>
      <c r="T2" s="20">
        <f t="shared" si="1"/>
        <v>2018</v>
      </c>
      <c r="U2" s="20">
        <f t="shared" si="1"/>
        <v>2019</v>
      </c>
      <c r="V2" s="20">
        <f t="shared" si="1"/>
        <v>2020</v>
      </c>
      <c r="W2" s="20">
        <f t="shared" si="1"/>
        <v>2021</v>
      </c>
      <c r="X2" s="20">
        <f t="shared" si="1"/>
        <v>2022</v>
      </c>
      <c r="Y2" s="20">
        <f t="shared" si="1"/>
        <v>2023</v>
      </c>
      <c r="Z2" s="20">
        <f t="shared" si="1"/>
        <v>2024</v>
      </c>
      <c r="AA2" s="20">
        <f t="shared" si="1"/>
        <v>2025</v>
      </c>
      <c r="AB2" s="20">
        <f t="shared" si="1"/>
        <v>2026</v>
      </c>
    </row>
    <row r="3" spans="2:28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2:28">
      <c r="B4" s="21" t="s">
        <v>62</v>
      </c>
      <c r="C4" s="22"/>
      <c r="D4" s="22">
        <f t="shared" ref="D4:J4" si="2">E4/(1+E5)</f>
        <v>15.699214782199308</v>
      </c>
      <c r="E4" s="22">
        <f t="shared" si="2"/>
        <v>15.856206930021301</v>
      </c>
      <c r="F4" s="22">
        <f t="shared" si="2"/>
        <v>16.014768999321515</v>
      </c>
      <c r="G4" s="22">
        <f t="shared" si="2"/>
        <v>16.174916689314731</v>
      </c>
      <c r="H4" s="22">
        <f t="shared" si="2"/>
        <v>16.33666585620788</v>
      </c>
      <c r="I4" s="22">
        <f t="shared" si="2"/>
        <v>16.500032514769959</v>
      </c>
      <c r="J4" s="22">
        <f t="shared" si="2"/>
        <v>16.665032839917657</v>
      </c>
      <c r="K4" s="22">
        <f>L4/(1+L5)</f>
        <v>16.831683168316832</v>
      </c>
      <c r="L4" s="23">
        <v>17</v>
      </c>
      <c r="M4" s="22">
        <f>(1+M5)*L4</f>
        <v>17.170000000000002</v>
      </c>
      <c r="N4" s="22">
        <f t="shared" ref="N4:AB4" si="3">(1+N5)*M4</f>
        <v>17.341700000000003</v>
      </c>
      <c r="O4" s="22">
        <f t="shared" si="3"/>
        <v>17.515117000000004</v>
      </c>
      <c r="P4" s="22">
        <f t="shared" si="3"/>
        <v>17.690268170000003</v>
      </c>
      <c r="Q4" s="22">
        <f t="shared" si="3"/>
        <v>17.867170851700003</v>
      </c>
      <c r="R4" s="22">
        <f t="shared" si="3"/>
        <v>18.045842560217004</v>
      </c>
      <c r="S4" s="22">
        <f t="shared" si="3"/>
        <v>18.226300985819176</v>
      </c>
      <c r="T4" s="22">
        <f t="shared" si="3"/>
        <v>18.408563995677369</v>
      </c>
      <c r="U4" s="22">
        <f t="shared" si="3"/>
        <v>18.592649635634142</v>
      </c>
      <c r="V4" s="22">
        <f t="shared" si="3"/>
        <v>18.778576131990484</v>
      </c>
      <c r="W4" s="22">
        <f t="shared" si="3"/>
        <v>18.966361893310388</v>
      </c>
      <c r="X4" s="22">
        <f t="shared" si="3"/>
        <v>19.156025512243492</v>
      </c>
      <c r="Y4" s="22">
        <f t="shared" si="3"/>
        <v>19.347585767365928</v>
      </c>
      <c r="Z4" s="22">
        <f t="shared" si="3"/>
        <v>19.541061625039585</v>
      </c>
      <c r="AA4" s="22">
        <f t="shared" si="3"/>
        <v>19.736472241289981</v>
      </c>
      <c r="AB4" s="22">
        <f t="shared" si="3"/>
        <v>19.93383696370288</v>
      </c>
    </row>
    <row r="5" spans="2:28">
      <c r="B5" s="21" t="s">
        <v>63</v>
      </c>
      <c r="C5" s="24"/>
      <c r="D5" s="25">
        <v>0.01</v>
      </c>
      <c r="E5" s="25">
        <v>0.01</v>
      </c>
      <c r="F5" s="25">
        <v>0.01</v>
      </c>
      <c r="G5" s="25">
        <v>0.01</v>
      </c>
      <c r="H5" s="25">
        <v>0.01</v>
      </c>
      <c r="I5" s="25">
        <v>0.01</v>
      </c>
      <c r="J5" s="25">
        <v>0.01</v>
      </c>
      <c r="K5" s="25">
        <v>0.01</v>
      </c>
      <c r="L5" s="25">
        <v>0.01</v>
      </c>
      <c r="M5" s="25">
        <v>0.01</v>
      </c>
      <c r="N5" s="25">
        <v>0.01</v>
      </c>
      <c r="O5" s="25">
        <v>0.01</v>
      </c>
      <c r="P5" s="25">
        <v>0.01</v>
      </c>
      <c r="Q5" s="25">
        <v>0.01</v>
      </c>
      <c r="R5" s="25">
        <v>0.01</v>
      </c>
      <c r="S5" s="25">
        <v>0.01</v>
      </c>
      <c r="T5" s="25">
        <v>0.01</v>
      </c>
      <c r="U5" s="25">
        <v>0.01</v>
      </c>
      <c r="V5" s="25">
        <v>0.01</v>
      </c>
      <c r="W5" s="25">
        <v>0.01</v>
      </c>
      <c r="X5" s="25">
        <v>0.01</v>
      </c>
      <c r="Y5" s="25">
        <v>0.01</v>
      </c>
      <c r="Z5" s="25">
        <v>0.01</v>
      </c>
      <c r="AA5" s="25">
        <v>0.01</v>
      </c>
      <c r="AB5" s="25">
        <v>0.01</v>
      </c>
    </row>
    <row r="6" spans="2:28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2:28">
      <c r="B7" s="21" t="s">
        <v>64</v>
      </c>
      <c r="C7" s="26"/>
      <c r="D7" s="26">
        <f t="shared" ref="D7:K7" si="4">D16</f>
        <v>6121</v>
      </c>
      <c r="E7" s="26">
        <f t="shared" si="4"/>
        <v>7425</v>
      </c>
      <c r="F7" s="26">
        <f t="shared" si="4"/>
        <v>9552</v>
      </c>
      <c r="G7" s="26">
        <f t="shared" si="4"/>
        <v>11268</v>
      </c>
      <c r="H7" s="26">
        <f t="shared" si="4"/>
        <v>13062</v>
      </c>
      <c r="I7" s="26">
        <f t="shared" si="4"/>
        <v>14655</v>
      </c>
      <c r="J7" s="26">
        <f t="shared" si="4"/>
        <v>15977</v>
      </c>
      <c r="K7" s="26">
        <f t="shared" si="4"/>
        <v>17622</v>
      </c>
      <c r="L7" s="26">
        <f t="shared" ref="L7:R7" si="5">L16</f>
        <v>21298</v>
      </c>
      <c r="M7" s="26">
        <f t="shared" si="5"/>
        <v>24346</v>
      </c>
      <c r="N7" s="26">
        <f t="shared" si="5"/>
        <v>26656</v>
      </c>
      <c r="O7" s="26">
        <f t="shared" si="5"/>
        <v>27151</v>
      </c>
      <c r="P7" s="26">
        <f t="shared" si="5"/>
        <v>26867.5</v>
      </c>
      <c r="Q7" s="26">
        <f t="shared" si="5"/>
        <v>26796</v>
      </c>
      <c r="R7" s="26">
        <f t="shared" si="5"/>
        <v>27402</v>
      </c>
      <c r="S7" s="26">
        <f t="shared" ref="S7:V7" si="6">S8*S4*1000</f>
        <v>27676.020000000004</v>
      </c>
      <c r="T7" s="26">
        <f t="shared" si="6"/>
        <v>27952.780200000008</v>
      </c>
      <c r="U7" s="26">
        <f t="shared" si="6"/>
        <v>28232.308002000005</v>
      </c>
      <c r="V7" s="26">
        <f t="shared" si="6"/>
        <v>28514.631082020005</v>
      </c>
      <c r="W7" s="26">
        <f t="shared" ref="W7:AA7" si="7">W8*W4*1000</f>
        <v>28799.777392840209</v>
      </c>
      <c r="X7" s="26">
        <f t="shared" si="7"/>
        <v>29087.77516676861</v>
      </c>
      <c r="Y7" s="26">
        <f t="shared" si="7"/>
        <v>29378.652918436299</v>
      </c>
      <c r="Z7" s="26">
        <f t="shared" si="7"/>
        <v>29672.439447620658</v>
      </c>
      <c r="AA7" s="26">
        <f t="shared" si="7"/>
        <v>29969.163842096863</v>
      </c>
      <c r="AB7" s="26">
        <f t="shared" ref="AB7" si="8">AB8*AB4*1000</f>
        <v>30268.855480517832</v>
      </c>
    </row>
    <row r="8" spans="2:28">
      <c r="B8" s="21" t="s">
        <v>65</v>
      </c>
      <c r="C8" s="24"/>
      <c r="D8" s="24">
        <f>D7/(D4*1000)</f>
        <v>0.38989211147938108</v>
      </c>
      <c r="E8" s="24">
        <f t="shared" ref="E8:L8" si="9">E7/(E4*1000)</f>
        <v>0.46827088172909115</v>
      </c>
      <c r="F8" s="24">
        <f t="shared" si="9"/>
        <v>0.59644943991416188</v>
      </c>
      <c r="G8" s="24">
        <f t="shared" si="9"/>
        <v>0.69663419085451761</v>
      </c>
      <c r="H8" s="24">
        <f t="shared" si="9"/>
        <v>0.7995511516835293</v>
      </c>
      <c r="I8" s="24">
        <f t="shared" si="9"/>
        <v>0.88818006794117632</v>
      </c>
      <c r="J8" s="24">
        <f t="shared" si="9"/>
        <v>0.95871398235294103</v>
      </c>
      <c r="K8" s="24">
        <f t="shared" si="9"/>
        <v>1.0469541176470589</v>
      </c>
      <c r="L8" s="24">
        <f t="shared" si="9"/>
        <v>1.2528235294117647</v>
      </c>
      <c r="M8" s="24">
        <f t="shared" ref="M8:R8" si="10">M7/(M4*1000)</f>
        <v>1.4179382644146767</v>
      </c>
      <c r="N8" s="24">
        <f t="shared" si="10"/>
        <v>1.5371042054700517</v>
      </c>
      <c r="O8" s="24">
        <f t="shared" si="10"/>
        <v>1.5501466533166748</v>
      </c>
      <c r="P8" s="24">
        <f t="shared" si="10"/>
        <v>1.518772906199533</v>
      </c>
      <c r="Q8" s="24">
        <f t="shared" si="10"/>
        <v>1.4997337979476726</v>
      </c>
      <c r="R8" s="24">
        <f t="shared" si="10"/>
        <v>1.5184660903785747</v>
      </c>
      <c r="S8" s="24">
        <f t="shared" ref="S8:AB8" si="11">R8+S9</f>
        <v>1.5184660903785747</v>
      </c>
      <c r="T8" s="24">
        <f t="shared" si="11"/>
        <v>1.5184660903785747</v>
      </c>
      <c r="U8" s="24">
        <f t="shared" si="11"/>
        <v>1.5184660903785747</v>
      </c>
      <c r="V8" s="24">
        <f t="shared" si="11"/>
        <v>1.5184660903785747</v>
      </c>
      <c r="W8" s="24">
        <f t="shared" si="11"/>
        <v>1.5184660903785747</v>
      </c>
      <c r="X8" s="24">
        <f t="shared" si="11"/>
        <v>1.5184660903785747</v>
      </c>
      <c r="Y8" s="24">
        <f t="shared" si="11"/>
        <v>1.5184660903785747</v>
      </c>
      <c r="Z8" s="24">
        <f t="shared" si="11"/>
        <v>1.5184660903785747</v>
      </c>
      <c r="AA8" s="24">
        <f t="shared" si="11"/>
        <v>1.5184660903785747</v>
      </c>
      <c r="AB8" s="24">
        <f t="shared" si="11"/>
        <v>1.5184660903785747</v>
      </c>
    </row>
    <row r="9" spans="2:28">
      <c r="B9" s="21" t="s">
        <v>66</v>
      </c>
      <c r="C9" s="24"/>
      <c r="D9" s="24"/>
      <c r="E9" s="24">
        <f>E8-D8</f>
        <v>7.8378770249710072E-2</v>
      </c>
      <c r="F9" s="24">
        <f t="shared" ref="F9:R9" si="12">F8-E8</f>
        <v>0.12817855818507073</v>
      </c>
      <c r="G9" s="24">
        <f t="shared" si="12"/>
        <v>0.10018475094035573</v>
      </c>
      <c r="H9" s="24">
        <f t="shared" si="12"/>
        <v>0.10291696082901169</v>
      </c>
      <c r="I9" s="24">
        <f t="shared" si="12"/>
        <v>8.8628916257647017E-2</v>
      </c>
      <c r="J9" s="24">
        <f t="shared" si="12"/>
        <v>7.0533914411764709E-2</v>
      </c>
      <c r="K9" s="24">
        <f t="shared" si="12"/>
        <v>8.8240135294117894E-2</v>
      </c>
      <c r="L9" s="24">
        <f t="shared" si="12"/>
        <v>0.20586941176470575</v>
      </c>
      <c r="M9" s="24">
        <f t="shared" si="12"/>
        <v>0.16511473500291207</v>
      </c>
      <c r="N9" s="24">
        <f t="shared" si="12"/>
        <v>0.11916594105537492</v>
      </c>
      <c r="O9" s="24">
        <f t="shared" si="12"/>
        <v>1.3042447846623118E-2</v>
      </c>
      <c r="P9" s="24">
        <f t="shared" si="12"/>
        <v>-3.1373747117141804E-2</v>
      </c>
      <c r="Q9" s="24">
        <f t="shared" si="12"/>
        <v>-1.9039108251860393E-2</v>
      </c>
      <c r="R9" s="24">
        <f t="shared" si="12"/>
        <v>1.8732292430902131E-2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</row>
    <row r="10" spans="2:28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2:28">
      <c r="B11" s="21" t="s">
        <v>133</v>
      </c>
      <c r="C11" s="27"/>
      <c r="D11" s="27">
        <v>2293</v>
      </c>
      <c r="E11" s="27">
        <v>2684</v>
      </c>
      <c r="F11" s="27">
        <v>3265</v>
      </c>
      <c r="G11" s="27">
        <v>4110</v>
      </c>
      <c r="H11" s="27">
        <v>5010</v>
      </c>
      <c r="I11" s="27">
        <v>5700</v>
      </c>
      <c r="J11" s="28">
        <v>6100</v>
      </c>
      <c r="K11" s="27">
        <v>6457</v>
      </c>
      <c r="L11" s="27">
        <v>7568</v>
      </c>
      <c r="M11" s="27">
        <v>9183</v>
      </c>
      <c r="N11" s="27">
        <v>10106</v>
      </c>
      <c r="O11" s="27">
        <v>10429</v>
      </c>
      <c r="P11" s="27">
        <v>10103</v>
      </c>
      <c r="Q11" s="334">
        <v>9711</v>
      </c>
      <c r="R11" s="334">
        <v>9514</v>
      </c>
      <c r="S11" s="334">
        <v>8997</v>
      </c>
      <c r="T11" s="334">
        <v>9260</v>
      </c>
      <c r="U11" s="26">
        <f t="shared" ref="S11:V15" si="13">U21*U$16</f>
        <v>9167.0567839550022</v>
      </c>
      <c r="V11" s="26">
        <f t="shared" si="13"/>
        <v>9044.8676186794019</v>
      </c>
      <c r="W11" s="26">
        <f t="shared" ref="W11:AA11" si="14">W21*W$16</f>
        <v>8919.3179644198954</v>
      </c>
      <c r="X11" s="26">
        <f t="shared" si="14"/>
        <v>8790.352830313328</v>
      </c>
      <c r="Y11" s="26">
        <f t="shared" si="14"/>
        <v>8657.9164617281913</v>
      </c>
      <c r="Z11" s="26">
        <f t="shared" si="14"/>
        <v>8521.9523304883169</v>
      </c>
      <c r="AA11" s="26">
        <f t="shared" si="14"/>
        <v>8382.4031249774725</v>
      </c>
      <c r="AB11" s="26">
        <f t="shared" ref="AB11" si="15">AB21*AB$16</f>
        <v>8239.2107401233625</v>
      </c>
    </row>
    <row r="12" spans="2:28">
      <c r="B12" s="21" t="s">
        <v>134</v>
      </c>
      <c r="C12" s="27"/>
      <c r="D12" s="27">
        <v>2881</v>
      </c>
      <c r="E12" s="27">
        <v>3571</v>
      </c>
      <c r="F12" s="27">
        <v>4748</v>
      </c>
      <c r="G12" s="27">
        <v>5274</v>
      </c>
      <c r="H12" s="27">
        <v>5680</v>
      </c>
      <c r="I12" s="27">
        <v>6283</v>
      </c>
      <c r="J12" s="28">
        <v>6875</v>
      </c>
      <c r="K12" s="27">
        <v>7525</v>
      </c>
      <c r="L12" s="27">
        <v>8794</v>
      </c>
      <c r="M12" s="27">
        <v>9548</v>
      </c>
      <c r="N12" s="27">
        <v>10040</v>
      </c>
      <c r="O12" s="27">
        <v>10490</v>
      </c>
      <c r="P12" s="334">
        <v>10660</v>
      </c>
      <c r="Q12" s="334">
        <v>9916</v>
      </c>
      <c r="R12" s="334">
        <v>9094</v>
      </c>
      <c r="S12" s="26">
        <f t="shared" si="13"/>
        <v>8977.369850000001</v>
      </c>
      <c r="T12" s="26">
        <f t="shared" si="13"/>
        <v>8857.4976970000025</v>
      </c>
      <c r="U12" s="26">
        <f t="shared" si="13"/>
        <v>8734.3303639550013</v>
      </c>
      <c r="V12" s="26">
        <f t="shared" si="13"/>
        <v>8607.8139344793999</v>
      </c>
      <c r="W12" s="26">
        <f t="shared" ref="W12:AA12" si="16">W22*W$16</f>
        <v>8477.8937433778938</v>
      </c>
      <c r="X12" s="26">
        <f t="shared" si="16"/>
        <v>8344.5143670609086</v>
      </c>
      <c r="Y12" s="26">
        <f t="shared" si="16"/>
        <v>8207.619613843246</v>
      </c>
      <c r="Z12" s="26">
        <f t="shared" si="16"/>
        <v>8067.152514124522</v>
      </c>
      <c r="AA12" s="26">
        <f t="shared" si="16"/>
        <v>7923.0553104500395</v>
      </c>
      <c r="AB12" s="26">
        <f t="shared" ref="AB12" si="17">AB22*AB$16</f>
        <v>7775.2694474506561</v>
      </c>
    </row>
    <row r="13" spans="2:28">
      <c r="B13" s="21" t="s">
        <v>135</v>
      </c>
      <c r="C13" s="28"/>
      <c r="D13" s="28">
        <v>947</v>
      </c>
      <c r="E13" s="28">
        <v>1170</v>
      </c>
      <c r="F13" s="28">
        <v>1539</v>
      </c>
      <c r="G13" s="28">
        <v>1884</v>
      </c>
      <c r="H13" s="28">
        <v>2372</v>
      </c>
      <c r="I13" s="28">
        <v>2672</v>
      </c>
      <c r="J13" s="28">
        <v>3002</v>
      </c>
      <c r="K13" s="28">
        <v>3597</v>
      </c>
      <c r="L13" s="28">
        <v>4871</v>
      </c>
      <c r="M13" s="28">
        <v>5537</v>
      </c>
      <c r="N13" s="28">
        <v>6174</v>
      </c>
      <c r="O13" s="28">
        <v>5948</v>
      </c>
      <c r="P13" s="334">
        <v>5754</v>
      </c>
      <c r="Q13" s="334">
        <v>6366</v>
      </c>
      <c r="R13" s="334">
        <v>6628</v>
      </c>
      <c r="S13" s="26">
        <f t="shared" si="13"/>
        <v>7000.3201000000008</v>
      </c>
      <c r="T13" s="26">
        <f t="shared" si="13"/>
        <v>7489.6150040000039</v>
      </c>
      <c r="U13" s="26">
        <f t="shared" si="13"/>
        <v>7987.995774070002</v>
      </c>
      <c r="V13" s="26">
        <f t="shared" si="13"/>
        <v>8495.5951980410009</v>
      </c>
      <c r="W13" s="26">
        <f t="shared" ref="W13:AA13" si="18">W23*W$16</f>
        <v>9012.5478109140167</v>
      </c>
      <c r="X13" s="26">
        <f t="shared" si="18"/>
        <v>9538.9899165246879</v>
      </c>
      <c r="Y13" s="26">
        <f t="shared" si="18"/>
        <v>10075.05960946648</v>
      </c>
      <c r="Z13" s="26">
        <f t="shared" si="18"/>
        <v>10620.896797275451</v>
      </c>
      <c r="AA13" s="26">
        <f t="shared" si="18"/>
        <v>11176.64322287966</v>
      </c>
      <c r="AB13" s="26">
        <f t="shared" ref="AB13" si="19">AB23*AB$16</f>
        <v>11742.442487316226</v>
      </c>
    </row>
    <row r="14" spans="2:28">
      <c r="B14" s="21" t="s">
        <v>67</v>
      </c>
      <c r="C14" s="28"/>
      <c r="D14" s="28"/>
      <c r="E14" s="28"/>
      <c r="F14" s="28"/>
      <c r="G14" s="28"/>
      <c r="H14" s="28"/>
      <c r="I14" s="30"/>
      <c r="J14" s="30"/>
      <c r="K14" s="30">
        <v>43</v>
      </c>
      <c r="L14" s="30">
        <v>65</v>
      </c>
      <c r="M14" s="30">
        <v>78</v>
      </c>
      <c r="N14" s="30">
        <v>198</v>
      </c>
      <c r="O14" s="30">
        <v>244</v>
      </c>
      <c r="P14" s="334">
        <v>240</v>
      </c>
      <c r="Q14" s="334">
        <v>132</v>
      </c>
      <c r="R14" s="334">
        <v>166</v>
      </c>
      <c r="S14" s="26">
        <f t="shared" si="13"/>
        <v>276.76020000000005</v>
      </c>
      <c r="T14" s="26">
        <f t="shared" si="13"/>
        <v>279.52780200000007</v>
      </c>
      <c r="U14" s="26">
        <f t="shared" si="13"/>
        <v>282.32308002000008</v>
      </c>
      <c r="V14" s="26">
        <f t="shared" si="13"/>
        <v>285.14631082020009</v>
      </c>
      <c r="W14" s="26">
        <f t="shared" ref="W14:AA14" si="20">W24*W$16</f>
        <v>287.99777392840213</v>
      </c>
      <c r="X14" s="26">
        <f t="shared" si="20"/>
        <v>290.87775166768608</v>
      </c>
      <c r="Y14" s="26">
        <f t="shared" si="20"/>
        <v>293.78652918436302</v>
      </c>
      <c r="Z14" s="26">
        <f t="shared" si="20"/>
        <v>296.72439447620661</v>
      </c>
      <c r="AA14" s="26">
        <f t="shared" si="20"/>
        <v>299.69163842096862</v>
      </c>
      <c r="AB14" s="26">
        <f t="shared" ref="AB14" si="21">AB24*AB$16</f>
        <v>302.68855480517834</v>
      </c>
    </row>
    <row r="15" spans="2:28">
      <c r="B15" s="31" t="s">
        <v>291</v>
      </c>
      <c r="C15" s="32"/>
      <c r="D15" s="32"/>
      <c r="E15" s="32"/>
      <c r="F15" s="32"/>
      <c r="G15" s="32"/>
      <c r="H15" s="32"/>
      <c r="I15" s="33"/>
      <c r="J15" s="33"/>
      <c r="K15" s="33"/>
      <c r="L15" s="33"/>
      <c r="M15" s="33">
        <v>0</v>
      </c>
      <c r="N15" s="33">
        <v>138</v>
      </c>
      <c r="O15" s="33">
        <v>40</v>
      </c>
      <c r="P15" s="402">
        <v>110.5</v>
      </c>
      <c r="Q15" s="402">
        <v>671</v>
      </c>
      <c r="R15" s="402">
        <v>2000</v>
      </c>
      <c r="S15" s="73">
        <f t="shared" si="13"/>
        <v>2020.0000000000005</v>
      </c>
      <c r="T15" s="73">
        <f t="shared" si="13"/>
        <v>2040.2000000000007</v>
      </c>
      <c r="U15" s="73">
        <f t="shared" si="13"/>
        <v>2060.6020000000003</v>
      </c>
      <c r="V15" s="73">
        <f t="shared" si="13"/>
        <v>2081.2080200000005</v>
      </c>
      <c r="W15" s="73">
        <f t="shared" ref="W15:AA15" si="22">W25*W$16</f>
        <v>2102.0201002000008</v>
      </c>
      <c r="X15" s="73">
        <f t="shared" si="22"/>
        <v>2123.0403012020006</v>
      </c>
      <c r="Y15" s="73">
        <f t="shared" si="22"/>
        <v>2144.270704214021</v>
      </c>
      <c r="Z15" s="73">
        <f t="shared" si="22"/>
        <v>2165.7134112561607</v>
      </c>
      <c r="AA15" s="73">
        <f t="shared" si="22"/>
        <v>2187.3705453687226</v>
      </c>
      <c r="AB15" s="73">
        <f t="shared" ref="AB15" si="23">AB25*AB$16</f>
        <v>2209.2442508224094</v>
      </c>
    </row>
    <row r="16" spans="2:28">
      <c r="B16" s="35" t="s">
        <v>68</v>
      </c>
      <c r="C16" s="36">
        <f t="shared" ref="C16:P16" si="24">SUM(C11:C15)</f>
        <v>0</v>
      </c>
      <c r="D16" s="36">
        <f t="shared" si="24"/>
        <v>6121</v>
      </c>
      <c r="E16" s="36">
        <f t="shared" si="24"/>
        <v>7425</v>
      </c>
      <c r="F16" s="36">
        <f t="shared" si="24"/>
        <v>9552</v>
      </c>
      <c r="G16" s="36">
        <f t="shared" si="24"/>
        <v>11268</v>
      </c>
      <c r="H16" s="36">
        <f t="shared" si="24"/>
        <v>13062</v>
      </c>
      <c r="I16" s="36">
        <f t="shared" si="24"/>
        <v>14655</v>
      </c>
      <c r="J16" s="36">
        <f t="shared" si="24"/>
        <v>15977</v>
      </c>
      <c r="K16" s="36">
        <f t="shared" si="24"/>
        <v>17622</v>
      </c>
      <c r="L16" s="36">
        <f t="shared" si="24"/>
        <v>21298</v>
      </c>
      <c r="M16" s="36">
        <f t="shared" si="24"/>
        <v>24346</v>
      </c>
      <c r="N16" s="36">
        <f t="shared" si="24"/>
        <v>26656</v>
      </c>
      <c r="O16" s="36">
        <f t="shared" si="24"/>
        <v>27151</v>
      </c>
      <c r="P16" s="36">
        <f t="shared" si="24"/>
        <v>26867.5</v>
      </c>
      <c r="Q16" s="36">
        <f t="shared" ref="Q16:R16" si="25">SUM(Q11:Q15)</f>
        <v>26796</v>
      </c>
      <c r="R16" s="36">
        <f t="shared" si="25"/>
        <v>27402</v>
      </c>
      <c r="S16" s="36">
        <f t="shared" ref="S16:V16" si="26">S7</f>
        <v>27676.020000000004</v>
      </c>
      <c r="T16" s="36">
        <f t="shared" si="26"/>
        <v>27952.780200000008</v>
      </c>
      <c r="U16" s="36">
        <f t="shared" si="26"/>
        <v>28232.308002000005</v>
      </c>
      <c r="V16" s="36">
        <f t="shared" si="26"/>
        <v>28514.631082020005</v>
      </c>
      <c r="W16" s="36">
        <f t="shared" ref="W16:AA16" si="27">W7</f>
        <v>28799.777392840209</v>
      </c>
      <c r="X16" s="36">
        <f t="shared" si="27"/>
        <v>29087.77516676861</v>
      </c>
      <c r="Y16" s="36">
        <f t="shared" si="27"/>
        <v>29378.652918436299</v>
      </c>
      <c r="Z16" s="36">
        <f t="shared" si="27"/>
        <v>29672.439447620658</v>
      </c>
      <c r="AA16" s="36">
        <f t="shared" si="27"/>
        <v>29969.163842096863</v>
      </c>
      <c r="AB16" s="36">
        <f t="shared" ref="AB16" si="28">AB7</f>
        <v>30268.855480517832</v>
      </c>
    </row>
    <row r="17" spans="2:28">
      <c r="B17" s="21" t="s">
        <v>63</v>
      </c>
      <c r="C17" s="24"/>
      <c r="D17" s="24" t="e">
        <f t="shared" ref="D17:AB17" si="29">D16/C16-1</f>
        <v>#DIV/0!</v>
      </c>
      <c r="E17" s="24">
        <f t="shared" si="29"/>
        <v>0.21303708544355504</v>
      </c>
      <c r="F17" s="24">
        <f t="shared" si="29"/>
        <v>0.28646464646464653</v>
      </c>
      <c r="G17" s="24">
        <f t="shared" si="29"/>
        <v>0.17964824120603007</v>
      </c>
      <c r="H17" s="24">
        <f t="shared" si="29"/>
        <v>0.15921192758253455</v>
      </c>
      <c r="I17" s="24">
        <f t="shared" si="29"/>
        <v>0.12195682131373453</v>
      </c>
      <c r="J17" s="24">
        <f t="shared" si="29"/>
        <v>9.0208120095530475E-2</v>
      </c>
      <c r="K17" s="24">
        <f t="shared" si="29"/>
        <v>0.10296050572698245</v>
      </c>
      <c r="L17" s="24">
        <f t="shared" si="29"/>
        <v>0.20860288276018624</v>
      </c>
      <c r="M17" s="24">
        <f t="shared" si="29"/>
        <v>0.14311202929852573</v>
      </c>
      <c r="N17" s="24">
        <f t="shared" si="29"/>
        <v>9.4882116158711893E-2</v>
      </c>
      <c r="O17" s="24">
        <f t="shared" si="29"/>
        <v>1.8569927971188394E-2</v>
      </c>
      <c r="P17" s="24">
        <f t="shared" si="29"/>
        <v>-1.0441604360796997E-2</v>
      </c>
      <c r="Q17" s="24">
        <f t="shared" si="29"/>
        <v>-2.6612077789150979E-3</v>
      </c>
      <c r="R17" s="24">
        <f t="shared" si="29"/>
        <v>2.2615315718764073E-2</v>
      </c>
      <c r="S17" s="24">
        <f t="shared" si="29"/>
        <v>1.0000000000000231E-2</v>
      </c>
      <c r="T17" s="24">
        <f t="shared" si="29"/>
        <v>1.0000000000000231E-2</v>
      </c>
      <c r="U17" s="24">
        <f t="shared" si="29"/>
        <v>9.9999999999997868E-3</v>
      </c>
      <c r="V17" s="24">
        <f t="shared" si="29"/>
        <v>1.0000000000000009E-2</v>
      </c>
      <c r="W17" s="24">
        <f t="shared" si="29"/>
        <v>1.0000000000000231E-2</v>
      </c>
      <c r="X17" s="24">
        <f t="shared" si="29"/>
        <v>1.0000000000000009E-2</v>
      </c>
      <c r="Y17" s="24">
        <f t="shared" si="29"/>
        <v>1.0000000000000009E-2</v>
      </c>
      <c r="Z17" s="24">
        <f t="shared" si="29"/>
        <v>9.9999999999997868E-3</v>
      </c>
      <c r="AA17" s="24">
        <f t="shared" si="29"/>
        <v>1.0000000000000009E-2</v>
      </c>
      <c r="AB17" s="24">
        <f t="shared" si="29"/>
        <v>1.0000000000000009E-2</v>
      </c>
    </row>
    <row r="18" spans="2:28">
      <c r="B18" s="21" t="s">
        <v>69</v>
      </c>
      <c r="C18" s="26"/>
      <c r="D18" s="26">
        <f t="shared" ref="D18:AB18" si="30">D16-C16</f>
        <v>6121</v>
      </c>
      <c r="E18" s="26">
        <f t="shared" si="30"/>
        <v>1304</v>
      </c>
      <c r="F18" s="26">
        <f t="shared" si="30"/>
        <v>2127</v>
      </c>
      <c r="G18" s="26">
        <f t="shared" si="30"/>
        <v>1716</v>
      </c>
      <c r="H18" s="26">
        <f t="shared" si="30"/>
        <v>1794</v>
      </c>
      <c r="I18" s="26">
        <f t="shared" si="30"/>
        <v>1593</v>
      </c>
      <c r="J18" s="37">
        <f t="shared" si="30"/>
        <v>1322</v>
      </c>
      <c r="K18" s="26">
        <f t="shared" si="30"/>
        <v>1645</v>
      </c>
      <c r="L18" s="26">
        <f t="shared" si="30"/>
        <v>3676</v>
      </c>
      <c r="M18" s="26">
        <f t="shared" si="30"/>
        <v>3048</v>
      </c>
      <c r="N18" s="26">
        <f t="shared" si="30"/>
        <v>2310</v>
      </c>
      <c r="O18" s="26">
        <f t="shared" si="30"/>
        <v>495</v>
      </c>
      <c r="P18" s="26">
        <f t="shared" si="30"/>
        <v>-283.5</v>
      </c>
      <c r="Q18" s="26">
        <f t="shared" si="30"/>
        <v>-71.5</v>
      </c>
      <c r="R18" s="26">
        <f t="shared" si="30"/>
        <v>606</v>
      </c>
      <c r="S18" s="26">
        <f t="shared" si="30"/>
        <v>274.02000000000407</v>
      </c>
      <c r="T18" s="26">
        <f t="shared" si="30"/>
        <v>276.76020000000426</v>
      </c>
      <c r="U18" s="26">
        <f t="shared" si="30"/>
        <v>279.52780199999688</v>
      </c>
      <c r="V18" s="26">
        <f t="shared" si="30"/>
        <v>282.32308001999991</v>
      </c>
      <c r="W18" s="26">
        <f t="shared" si="30"/>
        <v>285.14631082020423</v>
      </c>
      <c r="X18" s="26">
        <f t="shared" si="30"/>
        <v>287.99777392840042</v>
      </c>
      <c r="Y18" s="26">
        <f t="shared" si="30"/>
        <v>290.87775166768915</v>
      </c>
      <c r="Z18" s="26">
        <f t="shared" si="30"/>
        <v>293.7865291843591</v>
      </c>
      <c r="AA18" s="26">
        <f t="shared" si="30"/>
        <v>296.72439447620491</v>
      </c>
      <c r="AB18" s="26">
        <f t="shared" si="30"/>
        <v>299.69163842096896</v>
      </c>
    </row>
    <row r="19" spans="2:28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2:28">
      <c r="B20" s="35" t="s">
        <v>70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2:28">
      <c r="B21" s="21" t="str">
        <f>B11</f>
        <v>Entel</v>
      </c>
      <c r="C21" s="38"/>
      <c r="D21" s="38">
        <f t="shared" ref="D21:L26" si="31">D11/D$16</f>
        <v>0.37461199150465613</v>
      </c>
      <c r="E21" s="38">
        <f t="shared" si="31"/>
        <v>0.36148148148148146</v>
      </c>
      <c r="F21" s="38">
        <f t="shared" si="31"/>
        <v>0.34181323283082077</v>
      </c>
      <c r="G21" s="38">
        <f t="shared" si="31"/>
        <v>0.36474973375931841</v>
      </c>
      <c r="H21" s="38">
        <f t="shared" si="31"/>
        <v>0.38355535140101055</v>
      </c>
      <c r="I21" s="38">
        <f t="shared" si="31"/>
        <v>0.3889457523029683</v>
      </c>
      <c r="J21" s="38">
        <f t="shared" si="31"/>
        <v>0.38179883582650059</v>
      </c>
      <c r="K21" s="24">
        <f t="shared" si="31"/>
        <v>0.36641697877652935</v>
      </c>
      <c r="L21" s="24">
        <f t="shared" si="31"/>
        <v>0.35533852943938399</v>
      </c>
      <c r="M21" s="24">
        <f t="shared" ref="M21:P25" si="32">M11/M$16</f>
        <v>0.37718721761274954</v>
      </c>
      <c r="N21" s="24">
        <f t="shared" si="32"/>
        <v>0.37912665066026413</v>
      </c>
      <c r="O21" s="24">
        <f t="shared" si="32"/>
        <v>0.38411108246473424</v>
      </c>
      <c r="P21" s="24">
        <f t="shared" si="32"/>
        <v>0.37603052014515681</v>
      </c>
      <c r="Q21" s="24">
        <f t="shared" ref="Q21:R21" si="33">Q11/Q$16</f>
        <v>0.36240483654276756</v>
      </c>
      <c r="R21" s="24">
        <f t="shared" si="33"/>
        <v>0.34720093423837678</v>
      </c>
      <c r="S21" s="72">
        <f t="shared" ref="S21:AB22" si="34">R21-0.75%</f>
        <v>0.33970093423837677</v>
      </c>
      <c r="T21" s="72">
        <f t="shared" si="34"/>
        <v>0.33220093423837677</v>
      </c>
      <c r="U21" s="72">
        <f t="shared" si="34"/>
        <v>0.32470093423837676</v>
      </c>
      <c r="V21" s="72">
        <f t="shared" si="34"/>
        <v>0.31720093423837675</v>
      </c>
      <c r="W21" s="72">
        <f t="shared" si="34"/>
        <v>0.30970093423837675</v>
      </c>
      <c r="X21" s="72">
        <f t="shared" si="34"/>
        <v>0.30220093423837674</v>
      </c>
      <c r="Y21" s="72">
        <f t="shared" si="34"/>
        <v>0.29470093423837673</v>
      </c>
      <c r="Z21" s="72">
        <f t="shared" si="34"/>
        <v>0.28720093423837673</v>
      </c>
      <c r="AA21" s="72">
        <f t="shared" si="34"/>
        <v>0.27970093423837672</v>
      </c>
      <c r="AB21" s="72">
        <f t="shared" si="34"/>
        <v>0.27220093423837671</v>
      </c>
    </row>
    <row r="22" spans="2:28">
      <c r="B22" s="21" t="str">
        <f>B12</f>
        <v>TEF</v>
      </c>
      <c r="C22" s="38"/>
      <c r="D22" s="38">
        <f t="shared" si="31"/>
        <v>0.47067472635190327</v>
      </c>
      <c r="E22" s="38">
        <f t="shared" si="31"/>
        <v>0.48094276094276095</v>
      </c>
      <c r="F22" s="38">
        <f t="shared" si="31"/>
        <v>0.4970686767169179</v>
      </c>
      <c r="G22" s="38">
        <f t="shared" si="31"/>
        <v>0.46805111821086259</v>
      </c>
      <c r="H22" s="38">
        <f t="shared" si="31"/>
        <v>0.43484918082988822</v>
      </c>
      <c r="I22" s="38">
        <f t="shared" si="31"/>
        <v>0.42872739679290345</v>
      </c>
      <c r="J22" s="38">
        <f t="shared" si="31"/>
        <v>0.43030606496839208</v>
      </c>
      <c r="K22" s="24">
        <f t="shared" si="31"/>
        <v>0.42702303938258995</v>
      </c>
      <c r="L22" s="24">
        <f t="shared" si="31"/>
        <v>0.41290261996431588</v>
      </c>
      <c r="M22" s="24">
        <f t="shared" si="32"/>
        <v>0.39217941345600921</v>
      </c>
      <c r="N22" s="24">
        <f t="shared" si="32"/>
        <v>0.37665066026410565</v>
      </c>
      <c r="O22" s="24">
        <f t="shared" si="32"/>
        <v>0.38635777687746309</v>
      </c>
      <c r="P22" s="24">
        <f t="shared" si="32"/>
        <v>0.39676188703824322</v>
      </c>
      <c r="Q22" s="24">
        <f t="shared" ref="Q22:R22" si="35">Q12/Q$16</f>
        <v>0.37005523212419766</v>
      </c>
      <c r="R22" s="24">
        <f t="shared" si="35"/>
        <v>0.33187358586964455</v>
      </c>
      <c r="S22" s="72">
        <f t="shared" si="34"/>
        <v>0.32437358586964454</v>
      </c>
      <c r="T22" s="72">
        <f t="shared" si="34"/>
        <v>0.31687358586964454</v>
      </c>
      <c r="U22" s="72">
        <f t="shared" si="34"/>
        <v>0.30937358586964453</v>
      </c>
      <c r="V22" s="72">
        <f t="shared" si="34"/>
        <v>0.30187358586964452</v>
      </c>
      <c r="W22" s="72">
        <f t="shared" si="34"/>
        <v>0.29437358586964452</v>
      </c>
      <c r="X22" s="72">
        <f t="shared" si="34"/>
        <v>0.28687358586964451</v>
      </c>
      <c r="Y22" s="72">
        <f t="shared" si="34"/>
        <v>0.2793735858696445</v>
      </c>
      <c r="Z22" s="72">
        <f t="shared" si="34"/>
        <v>0.2718735858696445</v>
      </c>
      <c r="AA22" s="72">
        <f t="shared" si="34"/>
        <v>0.26437358586964449</v>
      </c>
      <c r="AB22" s="72">
        <f t="shared" si="34"/>
        <v>0.25687358586964448</v>
      </c>
    </row>
    <row r="23" spans="2:28">
      <c r="B23" s="21" t="str">
        <f>B13</f>
        <v>AMX</v>
      </c>
      <c r="C23" s="38"/>
      <c r="D23" s="38">
        <f t="shared" si="31"/>
        <v>0.15471328214344063</v>
      </c>
      <c r="E23" s="38">
        <f t="shared" si="31"/>
        <v>0.15757575757575756</v>
      </c>
      <c r="F23" s="38">
        <f t="shared" si="31"/>
        <v>0.1611180904522613</v>
      </c>
      <c r="G23" s="38">
        <f t="shared" si="31"/>
        <v>0.16719914802981894</v>
      </c>
      <c r="H23" s="38">
        <f t="shared" si="31"/>
        <v>0.18159546776910121</v>
      </c>
      <c r="I23" s="38">
        <f t="shared" si="31"/>
        <v>0.18232685090412828</v>
      </c>
      <c r="J23" s="38">
        <f t="shared" si="31"/>
        <v>0.18789509920510733</v>
      </c>
      <c r="K23" s="24">
        <f t="shared" si="31"/>
        <v>0.20411985018726592</v>
      </c>
      <c r="L23" s="24">
        <f t="shared" si="31"/>
        <v>0.22870692083763733</v>
      </c>
      <c r="M23" s="24">
        <f t="shared" si="32"/>
        <v>0.22742955721679126</v>
      </c>
      <c r="N23" s="24">
        <f t="shared" si="32"/>
        <v>0.23161764705882354</v>
      </c>
      <c r="O23" s="24">
        <f t="shared" si="32"/>
        <v>0.21907112076903246</v>
      </c>
      <c r="P23" s="24">
        <f t="shared" si="32"/>
        <v>0.21416209174653392</v>
      </c>
      <c r="Q23" s="24">
        <f t="shared" ref="Q23:R23" si="36">Q13/Q$16</f>
        <v>0.23757277205553068</v>
      </c>
      <c r="R23" s="24">
        <f t="shared" si="36"/>
        <v>0.24188015473323116</v>
      </c>
      <c r="S23" s="38">
        <f t="shared" ref="S23:V23" si="37">S26-S21-S22-S24-S25</f>
        <v>0.25293810670753958</v>
      </c>
      <c r="T23" s="38">
        <f t="shared" si="37"/>
        <v>0.26793810670753965</v>
      </c>
      <c r="U23" s="38">
        <f t="shared" si="37"/>
        <v>0.28293810670753961</v>
      </c>
      <c r="V23" s="38">
        <f t="shared" si="37"/>
        <v>0.29793810670753956</v>
      </c>
      <c r="W23" s="38">
        <f t="shared" ref="W23:AA23" si="38">W26-W21-W22-W24-W25</f>
        <v>0.31293810670753963</v>
      </c>
      <c r="X23" s="38">
        <f t="shared" si="38"/>
        <v>0.3279381067075397</v>
      </c>
      <c r="Y23" s="38">
        <f t="shared" si="38"/>
        <v>0.34293810670753966</v>
      </c>
      <c r="Z23" s="38">
        <f t="shared" si="38"/>
        <v>0.35793810670753962</v>
      </c>
      <c r="AA23" s="38">
        <f t="shared" si="38"/>
        <v>0.37293810670753968</v>
      </c>
      <c r="AB23" s="38">
        <f t="shared" ref="AB23" si="39">AB26-AB21-AB22-AB24-AB25</f>
        <v>0.38793810670753975</v>
      </c>
    </row>
    <row r="24" spans="2:28">
      <c r="B24" s="21" t="str">
        <f>B14</f>
        <v>Nextel</v>
      </c>
      <c r="C24" s="38"/>
      <c r="D24" s="38">
        <f t="shared" si="31"/>
        <v>0</v>
      </c>
      <c r="E24" s="38">
        <f t="shared" si="31"/>
        <v>0</v>
      </c>
      <c r="F24" s="38">
        <f t="shared" si="31"/>
        <v>0</v>
      </c>
      <c r="G24" s="38">
        <f t="shared" si="31"/>
        <v>0</v>
      </c>
      <c r="H24" s="38">
        <f t="shared" si="31"/>
        <v>0</v>
      </c>
      <c r="I24" s="38">
        <f t="shared" si="31"/>
        <v>0</v>
      </c>
      <c r="J24" s="38">
        <f t="shared" si="31"/>
        <v>0</v>
      </c>
      <c r="K24" s="24">
        <f t="shared" si="31"/>
        <v>2.4401316536147998E-3</v>
      </c>
      <c r="L24" s="24">
        <f t="shared" si="31"/>
        <v>3.051929758662785E-3</v>
      </c>
      <c r="M24" s="24">
        <f t="shared" si="32"/>
        <v>3.2038117144500122E-3</v>
      </c>
      <c r="N24" s="24">
        <f t="shared" si="32"/>
        <v>7.42797118847539E-3</v>
      </c>
      <c r="O24" s="24">
        <f t="shared" si="32"/>
        <v>8.9867776509152519E-3</v>
      </c>
      <c r="P24" s="24">
        <f t="shared" si="32"/>
        <v>8.9327254117428125E-3</v>
      </c>
      <c r="Q24" s="24">
        <f t="shared" ref="Q24:R24" si="40">Q14/Q$16</f>
        <v>4.9261083743842365E-3</v>
      </c>
      <c r="R24" s="24">
        <f t="shared" si="40"/>
        <v>6.0579519743084445E-3</v>
      </c>
      <c r="S24" s="25">
        <v>0.01</v>
      </c>
      <c r="T24" s="25">
        <v>0.01</v>
      </c>
      <c r="U24" s="25">
        <v>0.01</v>
      </c>
      <c r="V24" s="25">
        <v>0.01</v>
      </c>
      <c r="W24" s="25">
        <v>0.01</v>
      </c>
      <c r="X24" s="25">
        <v>0.01</v>
      </c>
      <c r="Y24" s="25">
        <v>0.01</v>
      </c>
      <c r="Z24" s="25">
        <v>0.01</v>
      </c>
      <c r="AA24" s="25">
        <v>0.01</v>
      </c>
      <c r="AB24" s="25">
        <v>0.01</v>
      </c>
    </row>
    <row r="25" spans="2:28">
      <c r="B25" s="31" t="str">
        <f>B15</f>
        <v>VTR</v>
      </c>
      <c r="C25" s="39"/>
      <c r="D25" s="39">
        <f t="shared" si="31"/>
        <v>0</v>
      </c>
      <c r="E25" s="39">
        <f t="shared" si="31"/>
        <v>0</v>
      </c>
      <c r="F25" s="39">
        <f t="shared" si="31"/>
        <v>0</v>
      </c>
      <c r="G25" s="39">
        <f t="shared" si="31"/>
        <v>0</v>
      </c>
      <c r="H25" s="39">
        <f t="shared" si="31"/>
        <v>0</v>
      </c>
      <c r="I25" s="39">
        <f t="shared" si="31"/>
        <v>0</v>
      </c>
      <c r="J25" s="39">
        <f t="shared" si="31"/>
        <v>0</v>
      </c>
      <c r="K25" s="271">
        <f t="shared" si="31"/>
        <v>0</v>
      </c>
      <c r="L25" s="271">
        <f t="shared" si="31"/>
        <v>0</v>
      </c>
      <c r="M25" s="271">
        <f t="shared" si="32"/>
        <v>0</v>
      </c>
      <c r="N25" s="271">
        <f t="shared" si="32"/>
        <v>5.1770708283313321E-3</v>
      </c>
      <c r="O25" s="271">
        <f t="shared" si="32"/>
        <v>1.4732422378549593E-3</v>
      </c>
      <c r="P25" s="271">
        <f t="shared" si="32"/>
        <v>4.1127756583232526E-3</v>
      </c>
      <c r="Q25" s="271">
        <f t="shared" ref="Q25:R25" si="41">Q15/Q$16</f>
        <v>2.5041050903119869E-2</v>
      </c>
      <c r="R25" s="271">
        <f t="shared" si="41"/>
        <v>7.2987373184439097E-2</v>
      </c>
      <c r="S25" s="40">
        <f t="shared" ref="S25:AB25" si="42">R25</f>
        <v>7.2987373184439097E-2</v>
      </c>
      <c r="T25" s="40">
        <f t="shared" si="42"/>
        <v>7.2987373184439097E-2</v>
      </c>
      <c r="U25" s="40">
        <f t="shared" si="42"/>
        <v>7.2987373184439097E-2</v>
      </c>
      <c r="V25" s="40">
        <f t="shared" si="42"/>
        <v>7.2987373184439097E-2</v>
      </c>
      <c r="W25" s="40">
        <f t="shared" si="42"/>
        <v>7.2987373184439097E-2</v>
      </c>
      <c r="X25" s="40">
        <f t="shared" si="42"/>
        <v>7.2987373184439097E-2</v>
      </c>
      <c r="Y25" s="40">
        <f t="shared" si="42"/>
        <v>7.2987373184439097E-2</v>
      </c>
      <c r="Z25" s="40">
        <f t="shared" si="42"/>
        <v>7.2987373184439097E-2</v>
      </c>
      <c r="AA25" s="40">
        <f t="shared" si="42"/>
        <v>7.2987373184439097E-2</v>
      </c>
      <c r="AB25" s="40">
        <f t="shared" si="42"/>
        <v>7.2987373184439097E-2</v>
      </c>
    </row>
    <row r="26" spans="2:28">
      <c r="B26" s="21" t="s">
        <v>68</v>
      </c>
      <c r="C26" s="38"/>
      <c r="D26" s="38">
        <f t="shared" si="31"/>
        <v>1</v>
      </c>
      <c r="E26" s="38">
        <f t="shared" si="31"/>
        <v>1</v>
      </c>
      <c r="F26" s="38">
        <f t="shared" si="31"/>
        <v>1</v>
      </c>
      <c r="G26" s="38">
        <f t="shared" si="31"/>
        <v>1</v>
      </c>
      <c r="H26" s="38">
        <f t="shared" si="31"/>
        <v>1</v>
      </c>
      <c r="I26" s="38">
        <f t="shared" si="31"/>
        <v>1</v>
      </c>
      <c r="J26" s="38">
        <f t="shared" si="31"/>
        <v>1</v>
      </c>
      <c r="K26" s="38">
        <f t="shared" si="31"/>
        <v>1</v>
      </c>
      <c r="L26" s="38">
        <f t="shared" si="31"/>
        <v>1</v>
      </c>
      <c r="M26" s="38">
        <f>M16/M$16</f>
        <v>1</v>
      </c>
      <c r="N26" s="38">
        <f>N16/N$16</f>
        <v>1</v>
      </c>
      <c r="O26" s="38">
        <v>1</v>
      </c>
      <c r="P26" s="38">
        <v>1</v>
      </c>
      <c r="Q26" s="38">
        <v>1</v>
      </c>
      <c r="R26" s="38">
        <v>1</v>
      </c>
      <c r="S26" s="38">
        <v>1</v>
      </c>
      <c r="T26" s="38">
        <v>1</v>
      </c>
      <c r="U26" s="38">
        <v>1</v>
      </c>
      <c r="V26" s="38">
        <v>1</v>
      </c>
      <c r="W26" s="38">
        <v>1</v>
      </c>
      <c r="X26" s="38">
        <v>1</v>
      </c>
      <c r="Y26" s="38">
        <v>1</v>
      </c>
      <c r="Z26" s="38">
        <v>1</v>
      </c>
      <c r="AA26" s="38">
        <v>1</v>
      </c>
      <c r="AB26" s="38">
        <v>1</v>
      </c>
    </row>
    <row r="27" spans="2:28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2:28">
      <c r="B28" s="35" t="s">
        <v>71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2:28">
      <c r="B29" s="21" t="str">
        <f>B21</f>
        <v>Entel</v>
      </c>
      <c r="C29" s="38"/>
      <c r="D29" s="38">
        <f t="shared" ref="D29:AB33" si="43">(D11-C11)/(D$16-C$16)</f>
        <v>0.37461199150465613</v>
      </c>
      <c r="E29" s="38">
        <f t="shared" si="43"/>
        <v>0.29984662576687116</v>
      </c>
      <c r="F29" s="38">
        <f t="shared" si="43"/>
        <v>0.27315467795016457</v>
      </c>
      <c r="G29" s="38">
        <f t="shared" si="43"/>
        <v>0.49242424242424243</v>
      </c>
      <c r="H29" s="38">
        <f t="shared" si="43"/>
        <v>0.50167224080267558</v>
      </c>
      <c r="I29" s="38">
        <f t="shared" si="43"/>
        <v>0.43314500941619588</v>
      </c>
      <c r="J29" s="38">
        <f t="shared" si="43"/>
        <v>0.30257186081694404</v>
      </c>
      <c r="K29" s="38">
        <f t="shared" si="43"/>
        <v>0.21702127659574469</v>
      </c>
      <c r="L29" s="38">
        <f t="shared" si="43"/>
        <v>0.30223068552774757</v>
      </c>
      <c r="M29" s="38">
        <f t="shared" si="43"/>
        <v>0.52985564304461941</v>
      </c>
      <c r="N29" s="38">
        <f t="shared" si="43"/>
        <v>0.39956709956709957</v>
      </c>
      <c r="O29" s="38">
        <f t="shared" si="43"/>
        <v>0.65252525252525251</v>
      </c>
      <c r="P29" s="38">
        <f t="shared" si="43"/>
        <v>1.1499118165784832</v>
      </c>
      <c r="Q29" s="38">
        <f t="shared" si="43"/>
        <v>5.4825174825174825</v>
      </c>
      <c r="R29" s="38">
        <f t="shared" si="43"/>
        <v>-0.32508250825082508</v>
      </c>
      <c r="S29" s="38">
        <f t="shared" si="43"/>
        <v>-1.8867235968177225</v>
      </c>
      <c r="T29" s="38">
        <f t="shared" si="43"/>
        <v>0.95028114591619728</v>
      </c>
      <c r="U29" s="38">
        <f t="shared" si="43"/>
        <v>-0.33250079376719338</v>
      </c>
      <c r="V29" s="38">
        <f t="shared" si="43"/>
        <v>-0.43279906576162452</v>
      </c>
      <c r="W29" s="38">
        <f t="shared" si="43"/>
        <v>-0.44029906576161321</v>
      </c>
      <c r="X29" s="38">
        <f t="shared" si="43"/>
        <v>-0.44779906576163181</v>
      </c>
      <c r="Y29" s="38">
        <f t="shared" si="43"/>
        <v>-0.45529906576161094</v>
      </c>
      <c r="Z29" s="38">
        <f t="shared" si="43"/>
        <v>-0.46279906576163399</v>
      </c>
      <c r="AA29" s="38">
        <f t="shared" si="43"/>
        <v>-0.47029906576162933</v>
      </c>
      <c r="AB29" s="38">
        <f t="shared" si="43"/>
        <v>-0.47779906576162623</v>
      </c>
    </row>
    <row r="30" spans="2:28">
      <c r="B30" s="21" t="str">
        <f>B22</f>
        <v>TEF</v>
      </c>
      <c r="C30" s="38"/>
      <c r="D30" s="38">
        <f t="shared" si="43"/>
        <v>0.47067472635190327</v>
      </c>
      <c r="E30" s="38">
        <f t="shared" si="43"/>
        <v>0.52914110429447858</v>
      </c>
      <c r="F30" s="38">
        <f t="shared" si="43"/>
        <v>0.55336154207804422</v>
      </c>
      <c r="G30" s="38">
        <f t="shared" si="43"/>
        <v>0.30652680652680653</v>
      </c>
      <c r="H30" s="38">
        <f t="shared" si="43"/>
        <v>0.22630992196209587</v>
      </c>
      <c r="I30" s="38">
        <f t="shared" si="43"/>
        <v>0.37853107344632769</v>
      </c>
      <c r="J30" s="38">
        <f t="shared" si="43"/>
        <v>0.44780635400907715</v>
      </c>
      <c r="K30" s="38">
        <f t="shared" si="43"/>
        <v>0.39513677811550152</v>
      </c>
      <c r="L30" s="38">
        <f t="shared" si="43"/>
        <v>0.3452121871599565</v>
      </c>
      <c r="M30" s="38">
        <f t="shared" si="43"/>
        <v>0.24737532808398949</v>
      </c>
      <c r="N30" s="38">
        <f t="shared" si="43"/>
        <v>0.21298701298701297</v>
      </c>
      <c r="O30" s="38">
        <f t="shared" si="43"/>
        <v>0.90909090909090906</v>
      </c>
      <c r="P30" s="38">
        <f t="shared" si="43"/>
        <v>-0.59964726631393295</v>
      </c>
      <c r="Q30" s="38">
        <f t="shared" si="43"/>
        <v>10.405594405594405</v>
      </c>
      <c r="R30" s="38">
        <f t="shared" si="43"/>
        <v>-1.3564356435643565</v>
      </c>
      <c r="S30" s="38">
        <f t="shared" si="43"/>
        <v>-0.42562641413034563</v>
      </c>
      <c r="T30" s="38">
        <f t="shared" si="43"/>
        <v>-0.43312641413034314</v>
      </c>
      <c r="U30" s="38">
        <f t="shared" si="43"/>
        <v>-0.44062641413036469</v>
      </c>
      <c r="V30" s="38">
        <f t="shared" si="43"/>
        <v>-0.44812641413036053</v>
      </c>
      <c r="W30" s="38">
        <f t="shared" si="43"/>
        <v>-0.45562641413034388</v>
      </c>
      <c r="X30" s="38">
        <f t="shared" si="43"/>
        <v>-0.46312641413035643</v>
      </c>
      <c r="Y30" s="38">
        <f t="shared" si="43"/>
        <v>-0.47062641413034861</v>
      </c>
      <c r="Z30" s="38">
        <f t="shared" si="43"/>
        <v>-0.47812641413036711</v>
      </c>
      <c r="AA30" s="38">
        <f t="shared" si="43"/>
        <v>-0.48562641413036223</v>
      </c>
      <c r="AB30" s="38">
        <f t="shared" si="43"/>
        <v>-0.49312641413035524</v>
      </c>
    </row>
    <row r="31" spans="2:28">
      <c r="B31" s="21" t="str">
        <f>B23</f>
        <v>AMX</v>
      </c>
      <c r="C31" s="38"/>
      <c r="D31" s="38">
        <f t="shared" si="43"/>
        <v>0.15471328214344063</v>
      </c>
      <c r="E31" s="38">
        <f t="shared" si="43"/>
        <v>0.17101226993865032</v>
      </c>
      <c r="F31" s="38">
        <f t="shared" si="43"/>
        <v>0.17348377997179126</v>
      </c>
      <c r="G31" s="38">
        <f t="shared" si="43"/>
        <v>0.20104895104895104</v>
      </c>
      <c r="H31" s="38">
        <f t="shared" si="43"/>
        <v>0.27201783723522854</v>
      </c>
      <c r="I31" s="38">
        <f t="shared" si="43"/>
        <v>0.18832391713747645</v>
      </c>
      <c r="J31" s="38">
        <f t="shared" si="43"/>
        <v>0.24962178517397882</v>
      </c>
      <c r="K31" s="38">
        <f t="shared" si="43"/>
        <v>0.36170212765957449</v>
      </c>
      <c r="L31" s="38">
        <f t="shared" si="43"/>
        <v>0.34657236126224156</v>
      </c>
      <c r="M31" s="38">
        <f t="shared" si="43"/>
        <v>0.21850393700787402</v>
      </c>
      <c r="N31" s="38">
        <f t="shared" si="43"/>
        <v>0.27575757575757576</v>
      </c>
      <c r="O31" s="38">
        <f t="shared" si="43"/>
        <v>-0.45656565656565656</v>
      </c>
      <c r="P31" s="38">
        <f t="shared" si="43"/>
        <v>0.6843033509700176</v>
      </c>
      <c r="Q31" s="38">
        <f t="shared" si="43"/>
        <v>-8.55944055944056</v>
      </c>
      <c r="R31" s="38">
        <f t="shared" si="43"/>
        <v>0.43234323432343236</v>
      </c>
      <c r="S31" s="38">
        <f t="shared" si="43"/>
        <v>1.3587333041383669</v>
      </c>
      <c r="T31" s="38">
        <f t="shared" si="43"/>
        <v>1.7679381067075233</v>
      </c>
      <c r="U31" s="38">
        <f t="shared" si="43"/>
        <v>1.7829381067075527</v>
      </c>
      <c r="V31" s="38">
        <f t="shared" si="43"/>
        <v>1.7979381067075364</v>
      </c>
      <c r="W31" s="38">
        <f t="shared" si="43"/>
        <v>1.8129381067075225</v>
      </c>
      <c r="X31" s="38">
        <f t="shared" si="43"/>
        <v>1.8279381067075566</v>
      </c>
      <c r="Y31" s="38">
        <f t="shared" si="43"/>
        <v>1.8429381067075219</v>
      </c>
      <c r="Z31" s="38">
        <f t="shared" si="43"/>
        <v>1.8579381067075518</v>
      </c>
      <c r="AA31" s="38">
        <f t="shared" si="43"/>
        <v>1.8729381067075568</v>
      </c>
      <c r="AB31" s="38">
        <f t="shared" si="43"/>
        <v>1.8879381067075436</v>
      </c>
    </row>
    <row r="32" spans="2:28">
      <c r="B32" s="21" t="str">
        <f>B24</f>
        <v>Nextel</v>
      </c>
      <c r="C32" s="38"/>
      <c r="D32" s="38">
        <f t="shared" si="43"/>
        <v>0</v>
      </c>
      <c r="E32" s="38">
        <f t="shared" si="43"/>
        <v>0</v>
      </c>
      <c r="F32" s="38">
        <f t="shared" si="43"/>
        <v>0</v>
      </c>
      <c r="G32" s="38">
        <f t="shared" si="43"/>
        <v>0</v>
      </c>
      <c r="H32" s="38">
        <f t="shared" si="43"/>
        <v>0</v>
      </c>
      <c r="I32" s="38">
        <f t="shared" si="43"/>
        <v>0</v>
      </c>
      <c r="J32" s="38">
        <f t="shared" si="43"/>
        <v>0</v>
      </c>
      <c r="K32" s="38">
        <f t="shared" si="43"/>
        <v>2.6139817629179333E-2</v>
      </c>
      <c r="L32" s="38">
        <f t="shared" si="43"/>
        <v>5.9847660500544067E-3</v>
      </c>
      <c r="M32" s="38">
        <f t="shared" si="43"/>
        <v>4.2650918635170603E-3</v>
      </c>
      <c r="N32" s="38">
        <f t="shared" si="43"/>
        <v>5.1948051948051951E-2</v>
      </c>
      <c r="O32" s="38">
        <f t="shared" si="43"/>
        <v>9.2929292929292931E-2</v>
      </c>
      <c r="P32" s="38">
        <f t="shared" si="43"/>
        <v>1.4109347442680775E-2</v>
      </c>
      <c r="Q32" s="38">
        <f t="shared" si="43"/>
        <v>1.5104895104895104</v>
      </c>
      <c r="R32" s="38">
        <f t="shared" si="43"/>
        <v>5.6105610561056105E-2</v>
      </c>
      <c r="S32" s="38">
        <f t="shared" si="43"/>
        <v>0.4042048025691497</v>
      </c>
      <c r="T32" s="38">
        <f t="shared" si="43"/>
        <v>9.9999999999998857E-3</v>
      </c>
      <c r="U32" s="38">
        <f t="shared" si="43"/>
        <v>1.0000000000000155E-2</v>
      </c>
      <c r="V32" s="38">
        <f t="shared" si="43"/>
        <v>1.0000000000000031E-2</v>
      </c>
      <c r="W32" s="38">
        <f t="shared" si="43"/>
        <v>9.9999999999999915E-3</v>
      </c>
      <c r="X32" s="38">
        <f t="shared" si="43"/>
        <v>9.9999999999998423E-3</v>
      </c>
      <c r="Y32" s="38">
        <f t="shared" si="43"/>
        <v>1.0000000000000148E-2</v>
      </c>
      <c r="Z32" s="38">
        <f t="shared" si="43"/>
        <v>1.0000000000000007E-2</v>
      </c>
      <c r="AA32" s="38">
        <f t="shared" si="43"/>
        <v>9.9999999999998476E-3</v>
      </c>
      <c r="AB32" s="38">
        <f t="shared" si="43"/>
        <v>1.0000000000000122E-2</v>
      </c>
    </row>
    <row r="33" spans="2:28">
      <c r="B33" s="21" t="str">
        <f>B25</f>
        <v>VTR</v>
      </c>
      <c r="C33" s="38"/>
      <c r="D33" s="38">
        <f t="shared" si="43"/>
        <v>0</v>
      </c>
      <c r="E33" s="38">
        <f t="shared" si="43"/>
        <v>0</v>
      </c>
      <c r="F33" s="38">
        <f t="shared" si="43"/>
        <v>0</v>
      </c>
      <c r="G33" s="38">
        <f t="shared" si="43"/>
        <v>0</v>
      </c>
      <c r="H33" s="38">
        <f t="shared" si="43"/>
        <v>0</v>
      </c>
      <c r="I33" s="38">
        <f t="shared" si="43"/>
        <v>0</v>
      </c>
      <c r="J33" s="38">
        <f t="shared" si="43"/>
        <v>0</v>
      </c>
      <c r="K33" s="38">
        <f t="shared" si="43"/>
        <v>0</v>
      </c>
      <c r="L33" s="38">
        <f t="shared" si="43"/>
        <v>0</v>
      </c>
      <c r="M33" s="38">
        <f t="shared" si="43"/>
        <v>0</v>
      </c>
      <c r="N33" s="38">
        <f t="shared" si="43"/>
        <v>5.9740259740259739E-2</v>
      </c>
      <c r="O33" s="38">
        <f t="shared" si="43"/>
        <v>-0.19797979797979798</v>
      </c>
      <c r="P33" s="38">
        <f t="shared" si="43"/>
        <v>-0.24867724867724866</v>
      </c>
      <c r="Q33" s="38">
        <f t="shared" si="43"/>
        <v>-7.8391608391608392</v>
      </c>
      <c r="R33" s="38">
        <f t="shared" si="43"/>
        <v>2.1930693069306932</v>
      </c>
      <c r="S33" s="38">
        <f t="shared" si="43"/>
        <v>7.2987373184439666E-2</v>
      </c>
      <c r="T33" s="38">
        <f t="shared" si="43"/>
        <v>7.2987373184438958E-2</v>
      </c>
      <c r="U33" s="38">
        <f t="shared" si="43"/>
        <v>7.2987373184438431E-2</v>
      </c>
      <c r="V33" s="38">
        <f t="shared" si="43"/>
        <v>7.2987373184439722E-2</v>
      </c>
      <c r="W33" s="38">
        <f t="shared" si="43"/>
        <v>7.2987373184439097E-2</v>
      </c>
      <c r="X33" s="38">
        <f t="shared" si="43"/>
        <v>7.2987373184438778E-2</v>
      </c>
      <c r="Y33" s="38">
        <f t="shared" si="43"/>
        <v>7.2987373184439541E-2</v>
      </c>
      <c r="Z33" s="38">
        <f t="shared" si="43"/>
        <v>7.2987373184438584E-2</v>
      </c>
      <c r="AA33" s="38">
        <f t="shared" si="43"/>
        <v>7.2987373184440277E-2</v>
      </c>
      <c r="AB33" s="38">
        <f t="shared" si="43"/>
        <v>7.2987373184437779E-2</v>
      </c>
    </row>
    <row r="34" spans="2:28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2:28">
      <c r="B35" s="35" t="s">
        <v>69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2:28">
      <c r="B36" s="21" t="str">
        <f>B29</f>
        <v>Entel</v>
      </c>
      <c r="C36" s="29"/>
      <c r="D36" s="29">
        <f t="shared" ref="D36:AB40" si="44">D11-C11</f>
        <v>2293</v>
      </c>
      <c r="E36" s="29">
        <f t="shared" si="44"/>
        <v>391</v>
      </c>
      <c r="F36" s="29">
        <f t="shared" si="44"/>
        <v>581</v>
      </c>
      <c r="G36" s="29">
        <f t="shared" si="44"/>
        <v>845</v>
      </c>
      <c r="H36" s="29">
        <f t="shared" si="44"/>
        <v>900</v>
      </c>
      <c r="I36" s="29">
        <f t="shared" si="44"/>
        <v>690</v>
      </c>
      <c r="J36" s="29">
        <f t="shared" si="44"/>
        <v>400</v>
      </c>
      <c r="K36" s="29">
        <f t="shared" si="44"/>
        <v>357</v>
      </c>
      <c r="L36" s="29">
        <f t="shared" si="44"/>
        <v>1111</v>
      </c>
      <c r="M36" s="29">
        <f t="shared" si="44"/>
        <v>1615</v>
      </c>
      <c r="N36" s="29">
        <f t="shared" si="44"/>
        <v>923</v>
      </c>
      <c r="O36" s="29">
        <f t="shared" si="44"/>
        <v>323</v>
      </c>
      <c r="P36" s="29">
        <f t="shared" si="44"/>
        <v>-326</v>
      </c>
      <c r="Q36" s="29">
        <f t="shared" si="44"/>
        <v>-392</v>
      </c>
      <c r="R36" s="29">
        <f t="shared" si="44"/>
        <v>-197</v>
      </c>
      <c r="S36" s="29">
        <f t="shared" si="44"/>
        <v>-517</v>
      </c>
      <c r="T36" s="29">
        <f t="shared" si="44"/>
        <v>263</v>
      </c>
      <c r="U36" s="29">
        <f t="shared" si="44"/>
        <v>-92.943216044997826</v>
      </c>
      <c r="V36" s="29">
        <f t="shared" si="44"/>
        <v>-122.18916527560032</v>
      </c>
      <c r="W36" s="29">
        <f t="shared" si="44"/>
        <v>-125.5496542595065</v>
      </c>
      <c r="X36" s="29">
        <f t="shared" si="44"/>
        <v>-128.96513410656735</v>
      </c>
      <c r="Y36" s="29">
        <f t="shared" si="44"/>
        <v>-132.43636858513673</v>
      </c>
      <c r="Z36" s="29">
        <f t="shared" si="44"/>
        <v>-135.9641312398744</v>
      </c>
      <c r="AA36" s="29">
        <f t="shared" si="44"/>
        <v>-139.54920551084433</v>
      </c>
      <c r="AB36" s="29">
        <f t="shared" si="44"/>
        <v>-143.19238485411006</v>
      </c>
    </row>
    <row r="37" spans="2:28">
      <c r="B37" s="21" t="str">
        <f>B30</f>
        <v>TEF</v>
      </c>
      <c r="C37" s="29"/>
      <c r="D37" s="29">
        <f t="shared" si="44"/>
        <v>2881</v>
      </c>
      <c r="E37" s="29">
        <f t="shared" si="44"/>
        <v>690</v>
      </c>
      <c r="F37" s="29">
        <f t="shared" si="44"/>
        <v>1177</v>
      </c>
      <c r="G37" s="29">
        <f t="shared" si="44"/>
        <v>526</v>
      </c>
      <c r="H37" s="29">
        <f t="shared" si="44"/>
        <v>406</v>
      </c>
      <c r="I37" s="29">
        <f t="shared" si="44"/>
        <v>603</v>
      </c>
      <c r="J37" s="29">
        <f t="shared" si="44"/>
        <v>592</v>
      </c>
      <c r="K37" s="29">
        <f t="shared" si="44"/>
        <v>650</v>
      </c>
      <c r="L37" s="29">
        <f t="shared" si="44"/>
        <v>1269</v>
      </c>
      <c r="M37" s="29">
        <f t="shared" si="44"/>
        <v>754</v>
      </c>
      <c r="N37" s="29">
        <f t="shared" si="44"/>
        <v>492</v>
      </c>
      <c r="O37" s="29">
        <f t="shared" si="44"/>
        <v>450</v>
      </c>
      <c r="P37" s="29">
        <f t="shared" si="44"/>
        <v>170</v>
      </c>
      <c r="Q37" s="29">
        <f t="shared" si="44"/>
        <v>-744</v>
      </c>
      <c r="R37" s="29">
        <f t="shared" si="44"/>
        <v>-822</v>
      </c>
      <c r="S37" s="29">
        <f t="shared" si="44"/>
        <v>-116.63014999999905</v>
      </c>
      <c r="T37" s="29">
        <f t="shared" si="44"/>
        <v>-119.87215299999843</v>
      </c>
      <c r="U37" s="29">
        <f t="shared" si="44"/>
        <v>-123.16733304500121</v>
      </c>
      <c r="V37" s="29">
        <f t="shared" si="44"/>
        <v>-126.5164294756014</v>
      </c>
      <c r="W37" s="29">
        <f t="shared" si="44"/>
        <v>-129.92019110150613</v>
      </c>
      <c r="X37" s="29">
        <f t="shared" si="44"/>
        <v>-133.37937631698514</v>
      </c>
      <c r="Y37" s="29">
        <f t="shared" si="44"/>
        <v>-136.89475321766258</v>
      </c>
      <c r="Z37" s="29">
        <f t="shared" si="44"/>
        <v>-140.46709971872406</v>
      </c>
      <c r="AA37" s="29">
        <f t="shared" si="44"/>
        <v>-144.09720367448244</v>
      </c>
      <c r="AB37" s="29">
        <f t="shared" si="44"/>
        <v>-147.78586299938343</v>
      </c>
    </row>
    <row r="38" spans="2:28">
      <c r="B38" s="21" t="str">
        <f>B31</f>
        <v>AMX</v>
      </c>
      <c r="C38" s="29"/>
      <c r="D38" s="29">
        <f t="shared" si="44"/>
        <v>947</v>
      </c>
      <c r="E38" s="29">
        <f t="shared" si="44"/>
        <v>223</v>
      </c>
      <c r="F38" s="29">
        <f t="shared" si="44"/>
        <v>369</v>
      </c>
      <c r="G38" s="29">
        <f t="shared" si="44"/>
        <v>345</v>
      </c>
      <c r="H38" s="29">
        <f t="shared" si="44"/>
        <v>488</v>
      </c>
      <c r="I38" s="29">
        <f t="shared" si="44"/>
        <v>300</v>
      </c>
      <c r="J38" s="29">
        <f t="shared" si="44"/>
        <v>330</v>
      </c>
      <c r="K38" s="29">
        <f t="shared" si="44"/>
        <v>595</v>
      </c>
      <c r="L38" s="29">
        <f t="shared" si="44"/>
        <v>1274</v>
      </c>
      <c r="M38" s="29">
        <f t="shared" si="44"/>
        <v>666</v>
      </c>
      <c r="N38" s="29">
        <f t="shared" si="44"/>
        <v>637</v>
      </c>
      <c r="O38" s="29">
        <f t="shared" si="44"/>
        <v>-226</v>
      </c>
      <c r="P38" s="29">
        <f t="shared" si="44"/>
        <v>-194</v>
      </c>
      <c r="Q38" s="29">
        <f t="shared" si="44"/>
        <v>612</v>
      </c>
      <c r="R38" s="29">
        <f t="shared" si="44"/>
        <v>262</v>
      </c>
      <c r="S38" s="29">
        <f t="shared" si="44"/>
        <v>372.32010000000082</v>
      </c>
      <c r="T38" s="29">
        <f t="shared" si="44"/>
        <v>489.29490400000304</v>
      </c>
      <c r="U38" s="29">
        <f t="shared" si="44"/>
        <v>498.38077006999811</v>
      </c>
      <c r="V38" s="29">
        <f t="shared" si="44"/>
        <v>507.59942397099894</v>
      </c>
      <c r="W38" s="29">
        <f t="shared" si="44"/>
        <v>516.95261287301582</v>
      </c>
      <c r="X38" s="29">
        <f t="shared" si="44"/>
        <v>526.44210561067121</v>
      </c>
      <c r="Y38" s="29">
        <f t="shared" si="44"/>
        <v>536.0696929417918</v>
      </c>
      <c r="Z38" s="29">
        <f t="shared" si="44"/>
        <v>545.83718780897107</v>
      </c>
      <c r="AA38" s="29">
        <f t="shared" si="44"/>
        <v>555.74642560420943</v>
      </c>
      <c r="AB38" s="29">
        <f t="shared" si="44"/>
        <v>565.79926443656586</v>
      </c>
    </row>
    <row r="39" spans="2:28">
      <c r="B39" s="21" t="str">
        <f>B32</f>
        <v>Nextel</v>
      </c>
      <c r="C39" s="29"/>
      <c r="D39" s="29">
        <f t="shared" si="44"/>
        <v>0</v>
      </c>
      <c r="E39" s="29">
        <f t="shared" si="44"/>
        <v>0</v>
      </c>
      <c r="F39" s="29">
        <f t="shared" si="44"/>
        <v>0</v>
      </c>
      <c r="G39" s="29">
        <f t="shared" si="44"/>
        <v>0</v>
      </c>
      <c r="H39" s="29">
        <f t="shared" si="44"/>
        <v>0</v>
      </c>
      <c r="I39" s="29">
        <f t="shared" si="44"/>
        <v>0</v>
      </c>
      <c r="J39" s="29">
        <f t="shared" si="44"/>
        <v>0</v>
      </c>
      <c r="K39" s="29">
        <f t="shared" si="44"/>
        <v>43</v>
      </c>
      <c r="L39" s="29">
        <f t="shared" si="44"/>
        <v>22</v>
      </c>
      <c r="M39" s="29">
        <f t="shared" si="44"/>
        <v>13</v>
      </c>
      <c r="N39" s="29">
        <f t="shared" si="44"/>
        <v>120</v>
      </c>
      <c r="O39" s="29">
        <f t="shared" si="44"/>
        <v>46</v>
      </c>
      <c r="P39" s="29">
        <f t="shared" si="44"/>
        <v>-4</v>
      </c>
      <c r="Q39" s="29">
        <f t="shared" si="44"/>
        <v>-108</v>
      </c>
      <c r="R39" s="29">
        <f t="shared" si="44"/>
        <v>34</v>
      </c>
      <c r="S39" s="29">
        <f t="shared" si="44"/>
        <v>110.76020000000005</v>
      </c>
      <c r="T39" s="29">
        <f t="shared" si="44"/>
        <v>2.7676020000000108</v>
      </c>
      <c r="U39" s="29">
        <f t="shared" si="44"/>
        <v>2.795278020000012</v>
      </c>
      <c r="V39" s="29">
        <f t="shared" si="44"/>
        <v>2.8232308002000082</v>
      </c>
      <c r="W39" s="29">
        <f t="shared" si="44"/>
        <v>2.8514631082020401</v>
      </c>
      <c r="X39" s="29">
        <f t="shared" si="44"/>
        <v>2.8799777392839587</v>
      </c>
      <c r="Y39" s="29">
        <f t="shared" si="44"/>
        <v>2.9087775166769347</v>
      </c>
      <c r="Z39" s="29">
        <f t="shared" si="44"/>
        <v>2.9378652918435932</v>
      </c>
      <c r="AA39" s="29">
        <f t="shared" si="44"/>
        <v>2.9672439447620036</v>
      </c>
      <c r="AB39" s="29">
        <f t="shared" si="44"/>
        <v>2.9969163842097259</v>
      </c>
    </row>
    <row r="40" spans="2:28">
      <c r="B40" s="31" t="str">
        <f>B33</f>
        <v>VTR</v>
      </c>
      <c r="C40" s="34"/>
      <c r="D40" s="34">
        <f t="shared" si="44"/>
        <v>0</v>
      </c>
      <c r="E40" s="34">
        <f t="shared" si="44"/>
        <v>0</v>
      </c>
      <c r="F40" s="34">
        <f t="shared" si="44"/>
        <v>0</v>
      </c>
      <c r="G40" s="34">
        <f t="shared" si="44"/>
        <v>0</v>
      </c>
      <c r="H40" s="34">
        <f t="shared" si="44"/>
        <v>0</v>
      </c>
      <c r="I40" s="34">
        <f t="shared" si="44"/>
        <v>0</v>
      </c>
      <c r="J40" s="34">
        <f t="shared" si="44"/>
        <v>0</v>
      </c>
      <c r="K40" s="34">
        <f t="shared" si="44"/>
        <v>0</v>
      </c>
      <c r="L40" s="34">
        <f t="shared" si="44"/>
        <v>0</v>
      </c>
      <c r="M40" s="34">
        <f t="shared" si="44"/>
        <v>0</v>
      </c>
      <c r="N40" s="34">
        <f t="shared" si="44"/>
        <v>138</v>
      </c>
      <c r="O40" s="34">
        <f t="shared" si="44"/>
        <v>-98</v>
      </c>
      <c r="P40" s="34">
        <f t="shared" si="44"/>
        <v>70.5</v>
      </c>
      <c r="Q40" s="34">
        <f t="shared" si="44"/>
        <v>560.5</v>
      </c>
      <c r="R40" s="34">
        <f t="shared" si="44"/>
        <v>1329</v>
      </c>
      <c r="S40" s="34">
        <f t="shared" si="44"/>
        <v>20.000000000000455</v>
      </c>
      <c r="T40" s="34">
        <f t="shared" si="44"/>
        <v>20.200000000000273</v>
      </c>
      <c r="U40" s="34">
        <f t="shared" si="44"/>
        <v>20.401999999999589</v>
      </c>
      <c r="V40" s="34">
        <f t="shared" si="44"/>
        <v>20.606020000000171</v>
      </c>
      <c r="W40" s="34">
        <f t="shared" si="44"/>
        <v>20.81208020000031</v>
      </c>
      <c r="X40" s="34">
        <f t="shared" si="44"/>
        <v>21.020201001999794</v>
      </c>
      <c r="Y40" s="34">
        <f t="shared" si="44"/>
        <v>21.230403012020361</v>
      </c>
      <c r="Z40" s="34">
        <f t="shared" si="44"/>
        <v>21.442707042139773</v>
      </c>
      <c r="AA40" s="34">
        <f t="shared" si="44"/>
        <v>21.657134112561835</v>
      </c>
      <c r="AB40" s="34">
        <f t="shared" si="44"/>
        <v>21.873705453686853</v>
      </c>
    </row>
    <row r="41" spans="2:28">
      <c r="B41" s="21" t="s">
        <v>68</v>
      </c>
      <c r="C41" s="29"/>
      <c r="D41" s="29">
        <f t="shared" ref="D41:T41" si="45">SUM(D36:D40)</f>
        <v>6121</v>
      </c>
      <c r="E41" s="29">
        <f t="shared" si="45"/>
        <v>1304</v>
      </c>
      <c r="F41" s="29">
        <f t="shared" si="45"/>
        <v>2127</v>
      </c>
      <c r="G41" s="29">
        <f t="shared" si="45"/>
        <v>1716</v>
      </c>
      <c r="H41" s="29">
        <f t="shared" si="45"/>
        <v>1794</v>
      </c>
      <c r="I41" s="29">
        <f t="shared" si="45"/>
        <v>1593</v>
      </c>
      <c r="J41" s="29">
        <f t="shared" si="45"/>
        <v>1322</v>
      </c>
      <c r="K41" s="29">
        <f t="shared" si="45"/>
        <v>1645</v>
      </c>
      <c r="L41" s="29">
        <f t="shared" si="45"/>
        <v>3676</v>
      </c>
      <c r="M41" s="29">
        <f t="shared" si="45"/>
        <v>3048</v>
      </c>
      <c r="N41" s="29">
        <f t="shared" si="45"/>
        <v>2310</v>
      </c>
      <c r="O41" s="29">
        <f t="shared" si="45"/>
        <v>495</v>
      </c>
      <c r="P41" s="29">
        <f t="shared" si="45"/>
        <v>-283.5</v>
      </c>
      <c r="Q41" s="29">
        <f t="shared" si="45"/>
        <v>-71.5</v>
      </c>
      <c r="R41" s="29">
        <f t="shared" si="45"/>
        <v>606</v>
      </c>
      <c r="S41" s="29">
        <f t="shared" si="45"/>
        <v>-130.54984999999772</v>
      </c>
      <c r="T41" s="29">
        <f t="shared" si="45"/>
        <v>655.39035300000489</v>
      </c>
      <c r="U41" s="29">
        <f t="shared" ref="U41:AA41" si="46">SUM(U36:U40)</f>
        <v>305.46749899999867</v>
      </c>
      <c r="V41" s="29">
        <f t="shared" si="46"/>
        <v>282.32308001999741</v>
      </c>
      <c r="W41" s="29">
        <f t="shared" si="46"/>
        <v>285.14631082020554</v>
      </c>
      <c r="X41" s="29">
        <f t="shared" si="46"/>
        <v>287.99777392840247</v>
      </c>
      <c r="Y41" s="29">
        <f t="shared" si="46"/>
        <v>290.87775166768978</v>
      </c>
      <c r="Z41" s="29">
        <f t="shared" si="46"/>
        <v>293.78652918435597</v>
      </c>
      <c r="AA41" s="29">
        <f t="shared" si="46"/>
        <v>296.7243944762065</v>
      </c>
      <c r="AB41" s="29">
        <f t="shared" ref="AB41" si="47">SUM(AB36:AB40)</f>
        <v>299.69163842096896</v>
      </c>
    </row>
    <row r="42" spans="2:28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2:28">
      <c r="B43" s="41" t="s">
        <v>28</v>
      </c>
      <c r="C43" s="41">
        <f>C2</f>
        <v>2001</v>
      </c>
      <c r="D43" s="41">
        <f t="shared" ref="D43:T43" si="48">D2</f>
        <v>2002</v>
      </c>
      <c r="E43" s="41">
        <f t="shared" si="48"/>
        <v>2003</v>
      </c>
      <c r="F43" s="41">
        <f t="shared" si="48"/>
        <v>2004</v>
      </c>
      <c r="G43" s="41">
        <f t="shared" si="48"/>
        <v>2005</v>
      </c>
      <c r="H43" s="41">
        <f t="shared" si="48"/>
        <v>2006</v>
      </c>
      <c r="I43" s="41">
        <f t="shared" si="48"/>
        <v>2007</v>
      </c>
      <c r="J43" s="41">
        <f t="shared" si="48"/>
        <v>2008</v>
      </c>
      <c r="K43" s="41">
        <f t="shared" si="48"/>
        <v>2009</v>
      </c>
      <c r="L43" s="41">
        <f t="shared" si="48"/>
        <v>2010</v>
      </c>
      <c r="M43" s="41">
        <f t="shared" si="48"/>
        <v>2011</v>
      </c>
      <c r="N43" s="41">
        <f t="shared" si="48"/>
        <v>2012</v>
      </c>
      <c r="O43" s="41">
        <f t="shared" si="48"/>
        <v>2013</v>
      </c>
      <c r="P43" s="41">
        <f t="shared" si="48"/>
        <v>2014</v>
      </c>
      <c r="Q43" s="41">
        <f t="shared" si="48"/>
        <v>2015</v>
      </c>
      <c r="R43" s="41">
        <f t="shared" si="48"/>
        <v>2016</v>
      </c>
      <c r="S43" s="41">
        <f t="shared" si="48"/>
        <v>2017</v>
      </c>
      <c r="T43" s="41">
        <f t="shared" si="48"/>
        <v>2018</v>
      </c>
      <c r="U43" s="41">
        <f t="shared" ref="U43:AA43" si="49">U2</f>
        <v>2019</v>
      </c>
      <c r="V43" s="41">
        <f t="shared" si="49"/>
        <v>2020</v>
      </c>
      <c r="W43" s="41">
        <f t="shared" si="49"/>
        <v>2021</v>
      </c>
      <c r="X43" s="41">
        <f t="shared" si="49"/>
        <v>2022</v>
      </c>
      <c r="Y43" s="41">
        <f t="shared" si="49"/>
        <v>2023</v>
      </c>
      <c r="Z43" s="41">
        <f t="shared" si="49"/>
        <v>2024</v>
      </c>
      <c r="AA43" s="41">
        <f t="shared" si="49"/>
        <v>2025</v>
      </c>
      <c r="AB43" s="41">
        <f t="shared" ref="AB43" si="50">AB2</f>
        <v>2026</v>
      </c>
    </row>
    <row r="44" spans="2:28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2:28">
      <c r="B45" s="21" t="s">
        <v>72</v>
      </c>
      <c r="C45" s="29"/>
      <c r="D45" s="29">
        <f t="shared" ref="D45:AB45" si="51">C46</f>
        <v>0</v>
      </c>
      <c r="E45" s="29">
        <f t="shared" si="51"/>
        <v>2293</v>
      </c>
      <c r="F45" s="29">
        <f t="shared" si="51"/>
        <v>2684</v>
      </c>
      <c r="G45" s="29">
        <f t="shared" si="51"/>
        <v>3265</v>
      </c>
      <c r="H45" s="29">
        <f t="shared" si="51"/>
        <v>4110</v>
      </c>
      <c r="I45" s="29">
        <f t="shared" si="51"/>
        <v>5010</v>
      </c>
      <c r="J45" s="29">
        <f t="shared" si="51"/>
        <v>5700</v>
      </c>
      <c r="K45" s="29">
        <f t="shared" si="51"/>
        <v>6100</v>
      </c>
      <c r="L45" s="29">
        <f t="shared" si="51"/>
        <v>6457</v>
      </c>
      <c r="M45" s="29">
        <f t="shared" si="51"/>
        <v>7568</v>
      </c>
      <c r="N45" s="29">
        <f t="shared" si="51"/>
        <v>9183</v>
      </c>
      <c r="O45" s="29">
        <f>N46</f>
        <v>10106</v>
      </c>
      <c r="P45" s="29">
        <f t="shared" si="51"/>
        <v>10429</v>
      </c>
      <c r="Q45" s="29">
        <f t="shared" si="51"/>
        <v>10103</v>
      </c>
      <c r="R45" s="29">
        <f t="shared" si="51"/>
        <v>9711</v>
      </c>
      <c r="S45" s="29">
        <f t="shared" si="51"/>
        <v>9514</v>
      </c>
      <c r="T45" s="29">
        <f t="shared" si="51"/>
        <v>8997</v>
      </c>
      <c r="U45" s="29">
        <f t="shared" si="51"/>
        <v>9260</v>
      </c>
      <c r="V45" s="29">
        <f t="shared" si="51"/>
        <v>9167.0567839550022</v>
      </c>
      <c r="W45" s="29">
        <f t="shared" si="51"/>
        <v>9044.8676186794019</v>
      </c>
      <c r="X45" s="29">
        <f t="shared" si="51"/>
        <v>8919.3179644198954</v>
      </c>
      <c r="Y45" s="29">
        <f t="shared" si="51"/>
        <v>8790.352830313328</v>
      </c>
      <c r="Z45" s="29">
        <f t="shared" si="51"/>
        <v>8657.9164617281913</v>
      </c>
      <c r="AA45" s="29">
        <f t="shared" si="51"/>
        <v>8521.9523304883169</v>
      </c>
      <c r="AB45" s="29">
        <f t="shared" si="51"/>
        <v>8382.4031249774725</v>
      </c>
    </row>
    <row r="46" spans="2:28">
      <c r="B46" s="31" t="s">
        <v>73</v>
      </c>
      <c r="C46" s="34">
        <f>C15</f>
        <v>0</v>
      </c>
      <c r="D46" s="34">
        <f t="shared" ref="D46:K46" si="52">D11</f>
        <v>2293</v>
      </c>
      <c r="E46" s="34">
        <f t="shared" si="52"/>
        <v>2684</v>
      </c>
      <c r="F46" s="34">
        <f t="shared" si="52"/>
        <v>3265</v>
      </c>
      <c r="G46" s="34">
        <f t="shared" si="52"/>
        <v>4110</v>
      </c>
      <c r="H46" s="34">
        <f t="shared" si="52"/>
        <v>5010</v>
      </c>
      <c r="I46" s="34">
        <f t="shared" si="52"/>
        <v>5700</v>
      </c>
      <c r="J46" s="34">
        <f t="shared" si="52"/>
        <v>6100</v>
      </c>
      <c r="K46" s="34">
        <f t="shared" si="52"/>
        <v>6457</v>
      </c>
      <c r="L46" s="34">
        <f>L11</f>
        <v>7568</v>
      </c>
      <c r="M46" s="34">
        <f t="shared" ref="M46:T46" si="53">M11</f>
        <v>9183</v>
      </c>
      <c r="N46" s="34">
        <f t="shared" si="53"/>
        <v>10106</v>
      </c>
      <c r="O46" s="34">
        <f t="shared" si="53"/>
        <v>10429</v>
      </c>
      <c r="P46" s="34">
        <f t="shared" si="53"/>
        <v>10103</v>
      </c>
      <c r="Q46" s="34">
        <f t="shared" si="53"/>
        <v>9711</v>
      </c>
      <c r="R46" s="34">
        <f t="shared" si="53"/>
        <v>9514</v>
      </c>
      <c r="S46" s="34">
        <f t="shared" si="53"/>
        <v>8997</v>
      </c>
      <c r="T46" s="34">
        <f t="shared" si="53"/>
        <v>9260</v>
      </c>
      <c r="U46" s="34">
        <f t="shared" ref="U46:AA46" si="54">U11</f>
        <v>9167.0567839550022</v>
      </c>
      <c r="V46" s="34">
        <f t="shared" si="54"/>
        <v>9044.8676186794019</v>
      </c>
      <c r="W46" s="34">
        <f t="shared" si="54"/>
        <v>8919.3179644198954</v>
      </c>
      <c r="X46" s="34">
        <f t="shared" si="54"/>
        <v>8790.352830313328</v>
      </c>
      <c r="Y46" s="34">
        <f t="shared" si="54"/>
        <v>8657.9164617281913</v>
      </c>
      <c r="Z46" s="34">
        <f t="shared" si="54"/>
        <v>8521.9523304883169</v>
      </c>
      <c r="AA46" s="34">
        <f t="shared" si="54"/>
        <v>8382.4031249774725</v>
      </c>
      <c r="AB46" s="34">
        <f t="shared" ref="AB46" si="55">AB11</f>
        <v>8239.2107401233625</v>
      </c>
    </row>
    <row r="47" spans="2:28">
      <c r="B47" s="21" t="s">
        <v>74</v>
      </c>
      <c r="C47" s="26"/>
      <c r="D47" s="26">
        <f t="shared" ref="D47:T47" si="56">(D45+D46)/2</f>
        <v>1146.5</v>
      </c>
      <c r="E47" s="26">
        <f t="shared" si="56"/>
        <v>2488.5</v>
      </c>
      <c r="F47" s="26">
        <f t="shared" si="56"/>
        <v>2974.5</v>
      </c>
      <c r="G47" s="26">
        <f t="shared" si="56"/>
        <v>3687.5</v>
      </c>
      <c r="H47" s="26">
        <f t="shared" si="56"/>
        <v>4560</v>
      </c>
      <c r="I47" s="26">
        <f t="shared" si="56"/>
        <v>5355</v>
      </c>
      <c r="J47" s="37">
        <f t="shared" si="56"/>
        <v>5900</v>
      </c>
      <c r="K47" s="26">
        <f t="shared" si="56"/>
        <v>6278.5</v>
      </c>
      <c r="L47" s="26">
        <f t="shared" si="56"/>
        <v>7012.5</v>
      </c>
      <c r="M47" s="26">
        <f t="shared" si="56"/>
        <v>8375.5</v>
      </c>
      <c r="N47" s="26">
        <f t="shared" si="56"/>
        <v>9644.5</v>
      </c>
      <c r="O47" s="26">
        <f t="shared" si="56"/>
        <v>10267.5</v>
      </c>
      <c r="P47" s="26">
        <f t="shared" si="56"/>
        <v>10266</v>
      </c>
      <c r="Q47" s="26">
        <f t="shared" si="56"/>
        <v>9907</v>
      </c>
      <c r="R47" s="26">
        <f t="shared" si="56"/>
        <v>9612.5</v>
      </c>
      <c r="S47" s="26">
        <f t="shared" si="56"/>
        <v>9255.5</v>
      </c>
      <c r="T47" s="26">
        <f t="shared" si="56"/>
        <v>9128.5</v>
      </c>
      <c r="U47" s="26">
        <f t="shared" ref="U47:AA47" si="57">(U45+U46)/2</f>
        <v>9213.5283919775011</v>
      </c>
      <c r="V47" s="26">
        <f t="shared" si="57"/>
        <v>9105.9622013172011</v>
      </c>
      <c r="W47" s="26">
        <f t="shared" si="57"/>
        <v>8982.0927915496486</v>
      </c>
      <c r="X47" s="26">
        <f t="shared" si="57"/>
        <v>8854.8353973666126</v>
      </c>
      <c r="Y47" s="26">
        <f t="shared" si="57"/>
        <v>8724.1346460207606</v>
      </c>
      <c r="Z47" s="26">
        <f t="shared" si="57"/>
        <v>8589.9343961082541</v>
      </c>
      <c r="AA47" s="26">
        <f t="shared" si="57"/>
        <v>8452.1777277328947</v>
      </c>
      <c r="AB47" s="26">
        <f t="shared" ref="AB47" si="58">(AB45+AB46)/2</f>
        <v>8310.8069325504184</v>
      </c>
    </row>
    <row r="48" spans="2:28">
      <c r="B48" s="21" t="s">
        <v>63</v>
      </c>
      <c r="C48" s="42"/>
      <c r="D48" s="42"/>
      <c r="E48" s="42">
        <f t="shared" ref="E48:AB48" si="59">E47/D47-1</f>
        <v>1.1705189707806367</v>
      </c>
      <c r="F48" s="42">
        <f t="shared" si="59"/>
        <v>0.19529837251356241</v>
      </c>
      <c r="G48" s="42">
        <f t="shared" si="59"/>
        <v>0.23970415195831229</v>
      </c>
      <c r="H48" s="42">
        <f t="shared" si="59"/>
        <v>0.23661016949152547</v>
      </c>
      <c r="I48" s="42">
        <f t="shared" si="59"/>
        <v>0.17434210526315796</v>
      </c>
      <c r="J48" s="43">
        <f t="shared" si="59"/>
        <v>0.10177404295051362</v>
      </c>
      <c r="K48" s="42">
        <f t="shared" si="59"/>
        <v>6.415254237288126E-2</v>
      </c>
      <c r="L48" s="42">
        <f t="shared" si="59"/>
        <v>0.11690690451540964</v>
      </c>
      <c r="M48" s="42">
        <f t="shared" si="59"/>
        <v>0.19436720142602493</v>
      </c>
      <c r="N48" s="42">
        <f t="shared" si="59"/>
        <v>0.15151334248701565</v>
      </c>
      <c r="O48" s="42">
        <f t="shared" si="59"/>
        <v>6.459640209445805E-2</v>
      </c>
      <c r="P48" s="42">
        <f t="shared" si="59"/>
        <v>-1.4609203798388037E-4</v>
      </c>
      <c r="Q48" s="42">
        <f t="shared" si="59"/>
        <v>-3.4969803233976249E-2</v>
      </c>
      <c r="R48" s="42">
        <f t="shared" si="59"/>
        <v>-2.9726456041182958E-2</v>
      </c>
      <c r="S48" s="42">
        <f t="shared" si="59"/>
        <v>-3.7139141742522752E-2</v>
      </c>
      <c r="T48" s="42">
        <f t="shared" si="59"/>
        <v>-1.3721570957808904E-2</v>
      </c>
      <c r="U48" s="42">
        <f t="shared" si="59"/>
        <v>9.3146072166840899E-3</v>
      </c>
      <c r="V48" s="42">
        <f t="shared" si="59"/>
        <v>-1.1674809701998745E-2</v>
      </c>
      <c r="W48" s="42">
        <f t="shared" si="59"/>
        <v>-1.360311047081153E-2</v>
      </c>
      <c r="X48" s="42">
        <f t="shared" si="59"/>
        <v>-1.4167900191674687E-2</v>
      </c>
      <c r="Y48" s="42">
        <f t="shared" si="59"/>
        <v>-1.4760381811808942E-2</v>
      </c>
      <c r="Z48" s="42">
        <f t="shared" si="59"/>
        <v>-1.5382643133977525E-2</v>
      </c>
      <c r="AA48" s="42">
        <f t="shared" si="59"/>
        <v>-1.6036987248444046E-2</v>
      </c>
      <c r="AB48" s="42">
        <f t="shared" si="59"/>
        <v>-1.6725961016959778E-2</v>
      </c>
    </row>
    <row r="49" spans="2:28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2:28">
      <c r="B50" s="21" t="s">
        <v>136</v>
      </c>
      <c r="C50" s="21"/>
      <c r="D50" s="21"/>
      <c r="E50" s="22"/>
      <c r="F50" s="22"/>
      <c r="G50" s="22"/>
      <c r="H50" s="22"/>
      <c r="I50" s="22">
        <f>I107*1000/I47/12</f>
        <v>0</v>
      </c>
      <c r="J50" s="22">
        <f>J107*1000/J47/12</f>
        <v>0</v>
      </c>
      <c r="K50" s="274">
        <f t="shared" ref="K50:P50" si="60">K107/K47/12*1000</f>
        <v>9075.2209922752245</v>
      </c>
      <c r="L50" s="274">
        <f t="shared" si="60"/>
        <v>9269.6577540106937</v>
      </c>
      <c r="M50" s="274">
        <f t="shared" si="60"/>
        <v>8996.2957435376993</v>
      </c>
      <c r="N50" s="274">
        <f t="shared" si="60"/>
        <v>8996.812950386231</v>
      </c>
      <c r="O50" s="274">
        <f t="shared" si="60"/>
        <v>9138.9505721938149</v>
      </c>
      <c r="P50" s="274">
        <f t="shared" si="60"/>
        <v>8423.3044759399945</v>
      </c>
      <c r="Q50" s="274">
        <f>Q107/Q47/12*1000</f>
        <v>8705.6762894922776</v>
      </c>
      <c r="R50" s="274">
        <f>R107/R47/12*1000</f>
        <v>8534.3832769830951</v>
      </c>
      <c r="S50" s="274">
        <f>S107/S47/12*1000</f>
        <v>9676.6516800821137</v>
      </c>
      <c r="T50" s="274">
        <f>T107/T47/12*1000</f>
        <v>9303.7753053623273</v>
      </c>
      <c r="U50" s="26">
        <f t="shared" ref="U50:AA50" si="61">U62+U57</f>
        <v>8918.5329145287214</v>
      </c>
      <c r="V50" s="26">
        <f t="shared" si="61"/>
        <v>9026.3811634494923</v>
      </c>
      <c r="W50" s="26">
        <f t="shared" si="61"/>
        <v>9189.9962567395141</v>
      </c>
      <c r="X50" s="26">
        <f t="shared" si="61"/>
        <v>9406.942480875894</v>
      </c>
      <c r="Y50" s="26">
        <f t="shared" si="61"/>
        <v>9675.3189011027425</v>
      </c>
      <c r="Z50" s="26">
        <f t="shared" si="61"/>
        <v>9993.711161567473</v>
      </c>
      <c r="AA50" s="26">
        <f t="shared" si="61"/>
        <v>10361.14986375672</v>
      </c>
      <c r="AB50" s="26">
        <f t="shared" ref="AB50" si="62">AB62+AB57</f>
        <v>10777.074800658716</v>
      </c>
    </row>
    <row r="51" spans="2:28">
      <c r="B51" s="21" t="s">
        <v>63</v>
      </c>
      <c r="C51" s="21"/>
      <c r="D51" s="21"/>
      <c r="E51" s="24"/>
      <c r="F51" s="24"/>
      <c r="G51" s="24"/>
      <c r="H51" s="24"/>
      <c r="I51" s="24"/>
      <c r="J51" s="24"/>
      <c r="K51" s="24"/>
      <c r="L51" s="24">
        <f t="shared" ref="L51:AB51" si="63">L50/K50-1</f>
        <v>2.1425016746255743E-2</v>
      </c>
      <c r="M51" s="24">
        <f t="shared" si="63"/>
        <v>-2.9489978781009341E-2</v>
      </c>
      <c r="N51" s="24">
        <f t="shared" si="63"/>
        <v>5.7491090030392655E-5</v>
      </c>
      <c r="O51" s="24">
        <f t="shared" si="63"/>
        <v>1.5798663659166268E-2</v>
      </c>
      <c r="P51" s="24">
        <f t="shared" si="63"/>
        <v>-7.8307250991294985E-2</v>
      </c>
      <c r="Q51" s="24">
        <f t="shared" si="63"/>
        <v>3.3522688673885526E-2</v>
      </c>
      <c r="R51" s="24">
        <f t="shared" si="63"/>
        <v>-1.9676014454607316E-2</v>
      </c>
      <c r="S51" s="24">
        <f t="shared" si="63"/>
        <v>0.13384311039553065</v>
      </c>
      <c r="T51" s="24">
        <f t="shared" si="63"/>
        <v>-3.853361545371059E-2</v>
      </c>
      <c r="U51" s="24">
        <f t="shared" si="63"/>
        <v>-4.1407103910986232E-2</v>
      </c>
      <c r="V51" s="24">
        <f t="shared" si="63"/>
        <v>1.2092599753159128E-2</v>
      </c>
      <c r="W51" s="24">
        <f t="shared" si="63"/>
        <v>1.8126322202362655E-2</v>
      </c>
      <c r="X51" s="24">
        <f t="shared" si="63"/>
        <v>2.3606780468194533E-2</v>
      </c>
      <c r="Y51" s="24">
        <f t="shared" si="63"/>
        <v>2.8529612121308556E-2</v>
      </c>
      <c r="Z51" s="24">
        <f t="shared" si="63"/>
        <v>3.2907676089978022E-2</v>
      </c>
      <c r="AA51" s="24">
        <f t="shared" si="63"/>
        <v>3.6766992386401576E-2</v>
      </c>
      <c r="AB51" s="24">
        <f t="shared" si="63"/>
        <v>4.0142739210529133E-2</v>
      </c>
    </row>
    <row r="52" spans="2:28">
      <c r="B52" s="21" t="s">
        <v>259</v>
      </c>
      <c r="C52" s="21"/>
      <c r="D52" s="30">
        <v>689</v>
      </c>
      <c r="E52" s="30">
        <v>690</v>
      </c>
      <c r="F52" s="30">
        <v>608</v>
      </c>
      <c r="G52" s="30">
        <v>560</v>
      </c>
      <c r="H52" s="30">
        <v>530</v>
      </c>
      <c r="I52" s="30">
        <v>522</v>
      </c>
      <c r="J52" s="30">
        <v>522</v>
      </c>
      <c r="K52" s="30">
        <v>559</v>
      </c>
      <c r="L52" s="30">
        <v>510</v>
      </c>
      <c r="M52" s="30">
        <v>484</v>
      </c>
      <c r="N52" s="30">
        <v>486</v>
      </c>
      <c r="O52" s="30">
        <v>495</v>
      </c>
      <c r="P52" s="30">
        <v>571</v>
      </c>
      <c r="Q52" s="30">
        <v>657</v>
      </c>
      <c r="R52" s="30">
        <v>676</v>
      </c>
      <c r="S52" s="30">
        <v>649</v>
      </c>
      <c r="T52" s="30">
        <v>642</v>
      </c>
      <c r="U52" s="30">
        <v>694</v>
      </c>
      <c r="V52" s="30">
        <v>770</v>
      </c>
      <c r="W52" s="26">
        <f t="shared" ref="W52:AB52" si="64">(1+W53)*V52</f>
        <v>781.55</v>
      </c>
      <c r="X52" s="26">
        <f t="shared" si="64"/>
        <v>793.27324999999985</v>
      </c>
      <c r="Y52" s="26">
        <f t="shared" si="64"/>
        <v>805.17234874999974</v>
      </c>
      <c r="Z52" s="26">
        <f t="shared" si="64"/>
        <v>817.24993398124968</v>
      </c>
      <c r="AA52" s="26">
        <f t="shared" si="64"/>
        <v>829.5086829909684</v>
      </c>
      <c r="AB52" s="26">
        <f t="shared" si="64"/>
        <v>841.9513132358328</v>
      </c>
    </row>
    <row r="53" spans="2:28">
      <c r="B53" s="38" t="s">
        <v>63</v>
      </c>
      <c r="C53" s="21"/>
      <c r="D53" s="21"/>
      <c r="E53" s="24">
        <f>E52/D52-1</f>
        <v>1.4513788098693414E-3</v>
      </c>
      <c r="F53" s="24">
        <f>F52/E52-1</f>
        <v>-0.11884057971014494</v>
      </c>
      <c r="G53" s="24">
        <f>G52/F52-1</f>
        <v>-7.8947368421052655E-2</v>
      </c>
      <c r="H53" s="24">
        <f>H52/G52-1</f>
        <v>-5.3571428571428603E-2</v>
      </c>
      <c r="I53" s="24">
        <f t="shared" ref="I53:V53" si="65">I52/H52-1</f>
        <v>-1.5094339622641506E-2</v>
      </c>
      <c r="J53" s="24">
        <f t="shared" si="65"/>
        <v>0</v>
      </c>
      <c r="K53" s="24">
        <f t="shared" si="65"/>
        <v>7.0881226053639779E-2</v>
      </c>
      <c r="L53" s="24">
        <f t="shared" si="65"/>
        <v>-8.7656529516994652E-2</v>
      </c>
      <c r="M53" s="24">
        <f t="shared" si="65"/>
        <v>-5.0980392156862786E-2</v>
      </c>
      <c r="N53" s="24">
        <f t="shared" si="65"/>
        <v>4.1322314049587749E-3</v>
      </c>
      <c r="O53" s="24">
        <f t="shared" si="65"/>
        <v>1.8518518518518601E-2</v>
      </c>
      <c r="P53" s="24">
        <f t="shared" si="65"/>
        <v>0.15353535353535364</v>
      </c>
      <c r="Q53" s="24">
        <f t="shared" si="65"/>
        <v>0.15061295971978983</v>
      </c>
      <c r="R53" s="24">
        <f t="shared" si="65"/>
        <v>2.8919330289193246E-2</v>
      </c>
      <c r="S53" s="24">
        <f t="shared" si="65"/>
        <v>-3.9940828402366901E-2</v>
      </c>
      <c r="T53" s="24">
        <f t="shared" si="65"/>
        <v>-1.0785824345146411E-2</v>
      </c>
      <c r="U53" s="24">
        <f t="shared" si="65"/>
        <v>8.0996884735202501E-2</v>
      </c>
      <c r="V53" s="24">
        <f t="shared" si="65"/>
        <v>0.10951008645533133</v>
      </c>
      <c r="W53" s="25">
        <v>1.4999999999999999E-2</v>
      </c>
      <c r="X53" s="25">
        <v>1.4999999999999999E-2</v>
      </c>
      <c r="Y53" s="25">
        <v>1.4999999999999999E-2</v>
      </c>
      <c r="Z53" s="25">
        <v>1.4999999999999999E-2</v>
      </c>
      <c r="AA53" s="25">
        <v>1.4999999999999999E-2</v>
      </c>
      <c r="AB53" s="25">
        <v>1.4999999999999999E-2</v>
      </c>
    </row>
    <row r="54" spans="2:28">
      <c r="B54" s="21" t="s">
        <v>75</v>
      </c>
      <c r="C54" s="21"/>
      <c r="D54" s="21"/>
      <c r="E54" s="24"/>
      <c r="F54" s="24"/>
      <c r="G54" s="24"/>
      <c r="H54" s="24"/>
      <c r="I54" s="22">
        <f>I50/I52</f>
        <v>0</v>
      </c>
      <c r="J54" s="22">
        <f>J50/J52</f>
        <v>0</v>
      </c>
      <c r="K54" s="22">
        <f>K50/K52</f>
        <v>16.234742383318828</v>
      </c>
      <c r="L54" s="22">
        <f>L50/L52</f>
        <v>18.175799517668025</v>
      </c>
      <c r="M54" s="22">
        <f t="shared" ref="M54:T54" si="66">M50/M52</f>
        <v>18.587387899871281</v>
      </c>
      <c r="N54" s="22">
        <f t="shared" si="66"/>
        <v>18.51196080326385</v>
      </c>
      <c r="O54" s="22">
        <f t="shared" si="66"/>
        <v>18.462526408472353</v>
      </c>
      <c r="P54" s="22">
        <f>P50/P52</f>
        <v>14.751846717933441</v>
      </c>
      <c r="Q54" s="22">
        <f t="shared" si="66"/>
        <v>13.250648842454</v>
      </c>
      <c r="R54" s="22">
        <f t="shared" si="66"/>
        <v>12.624827332815229</v>
      </c>
      <c r="S54" s="22">
        <f t="shared" si="66"/>
        <v>14.910095038647325</v>
      </c>
      <c r="T54" s="22">
        <f t="shared" si="66"/>
        <v>14.491861846358765</v>
      </c>
      <c r="U54" s="22">
        <f t="shared" ref="U54:AA54" si="67">U50/U52</f>
        <v>12.850911980588936</v>
      </c>
      <c r="V54" s="22">
        <f t="shared" si="67"/>
        <v>11.722572939544795</v>
      </c>
      <c r="W54" s="22">
        <f t="shared" si="67"/>
        <v>11.758679875554366</v>
      </c>
      <c r="X54" s="22">
        <f t="shared" si="67"/>
        <v>11.858388620662421</v>
      </c>
      <c r="Y54" s="22">
        <f t="shared" si="67"/>
        <v>12.016456993491291</v>
      </c>
      <c r="Z54" s="22">
        <f t="shared" si="67"/>
        <v>12.228463712297787</v>
      </c>
      <c r="AA54" s="22">
        <f t="shared" si="67"/>
        <v>12.490706940399237</v>
      </c>
      <c r="AB54" s="22">
        <f t="shared" ref="AB54" si="68">AB50/AB52</f>
        <v>12.800116385874713</v>
      </c>
    </row>
    <row r="55" spans="2:28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45"/>
      <c r="T55" s="45"/>
      <c r="U55" s="45"/>
      <c r="V55" s="45"/>
      <c r="W55" s="45"/>
      <c r="X55" s="45"/>
      <c r="Y55" s="45"/>
      <c r="Z55" s="45"/>
      <c r="AA55" s="45"/>
      <c r="AB55" s="45"/>
    </row>
    <row r="56" spans="2:28">
      <c r="B56" s="21" t="s">
        <v>76</v>
      </c>
      <c r="C56" s="21"/>
      <c r="D56" s="21"/>
      <c r="E56" s="21"/>
      <c r="F56" s="21"/>
      <c r="G56" s="21"/>
      <c r="H56" s="21"/>
      <c r="I56" s="21"/>
      <c r="J56" s="21"/>
      <c r="K56" s="38"/>
      <c r="L56" s="38">
        <f t="shared" ref="L56:T56" si="69">L57/L50</f>
        <v>0.18987190043814325</v>
      </c>
      <c r="M56" s="38">
        <f t="shared" si="69"/>
        <v>0.23038621551398356</v>
      </c>
      <c r="N56" s="38">
        <f>N57/N50</f>
        <v>0.23820990251836482</v>
      </c>
      <c r="O56" s="38">
        <f>O57/O50</f>
        <v>0.24482817694086406</v>
      </c>
      <c r="P56" s="38">
        <f>P57/P50</f>
        <v>0.30621950826105521</v>
      </c>
      <c r="Q56" s="38">
        <f t="shared" si="69"/>
        <v>0.41552491376476841</v>
      </c>
      <c r="R56" s="38">
        <f t="shared" ref="R56" si="70">R57/R50</f>
        <v>0.64784880768759368</v>
      </c>
      <c r="S56" s="38">
        <f t="shared" si="69"/>
        <v>0.61352579049847633</v>
      </c>
      <c r="T56" s="38">
        <f t="shared" si="69"/>
        <v>0.67287210376573114</v>
      </c>
      <c r="U56" s="38">
        <f t="shared" ref="U56:AA56" si="71">U57/U50</f>
        <v>0.72299541307506898</v>
      </c>
      <c r="V56" s="38">
        <f t="shared" si="71"/>
        <v>0.75721839883671271</v>
      </c>
      <c r="W56" s="38">
        <f t="shared" si="71"/>
        <v>0.7883614098402425</v>
      </c>
      <c r="X56" s="38">
        <f t="shared" si="71"/>
        <v>0.8163907375138989</v>
      </c>
      <c r="Y56" s="38">
        <f t="shared" si="71"/>
        <v>0.84137021585594129</v>
      </c>
      <c r="Z56" s="38">
        <f t="shared" si="71"/>
        <v>0.86343866877179387</v>
      </c>
      <c r="AA56" s="38">
        <f t="shared" si="71"/>
        <v>0.88278754591850572</v>
      </c>
      <c r="AB56" s="38">
        <f t="shared" ref="AB56" si="72">AB57/AB50</f>
        <v>0.89964075448323211</v>
      </c>
    </row>
    <row r="57" spans="2:28">
      <c r="B57" s="21" t="s">
        <v>77</v>
      </c>
      <c r="C57" s="21"/>
      <c r="D57" s="21"/>
      <c r="E57" s="21"/>
      <c r="F57" s="21"/>
      <c r="G57" s="21"/>
      <c r="H57" s="21"/>
      <c r="I57" s="21"/>
      <c r="J57" s="21"/>
      <c r="K57" s="22"/>
      <c r="L57" s="26">
        <f t="shared" ref="L57:Q57" si="73">L59*1000/L47/12</f>
        <v>1760.0475341651811</v>
      </c>
      <c r="M57" s="26">
        <f t="shared" si="73"/>
        <v>2072.6225299982093</v>
      </c>
      <c r="N57" s="26">
        <f t="shared" si="73"/>
        <v>2143.1299358874662</v>
      </c>
      <c r="O57" s="26">
        <f t="shared" si="73"/>
        <v>2237.4726077428782</v>
      </c>
      <c r="P57" s="26">
        <f t="shared" si="73"/>
        <v>2579.3801545554907</v>
      </c>
      <c r="Q57" s="26">
        <f t="shared" si="73"/>
        <v>3617.4253894552676</v>
      </c>
      <c r="R57" s="26">
        <f t="shared" ref="R57:S57" si="74">R59*1000/R47/12</f>
        <v>5528.9900303424365</v>
      </c>
      <c r="S57" s="26">
        <f t="shared" si="74"/>
        <v>5936.875371400788</v>
      </c>
      <c r="T57" s="26">
        <f t="shared" ref="T57" si="75">T59*1000/T47/12</f>
        <v>6260.2508626828067</v>
      </c>
      <c r="U57" s="26">
        <f t="shared" ref="U57:AB57" si="76">T57*(1+U58)</f>
        <v>6448.0583885632914</v>
      </c>
      <c r="V57" s="26">
        <f t="shared" si="76"/>
        <v>6834.9418918770889</v>
      </c>
      <c r="W57" s="26">
        <f t="shared" si="76"/>
        <v>7245.0384053897142</v>
      </c>
      <c r="X57" s="26">
        <f t="shared" si="76"/>
        <v>7679.7407097130972</v>
      </c>
      <c r="Y57" s="26">
        <f t="shared" si="76"/>
        <v>8140.5251522958833</v>
      </c>
      <c r="Z57" s="26">
        <f t="shared" si="76"/>
        <v>8628.9566614336363</v>
      </c>
      <c r="AA57" s="26">
        <f t="shared" si="76"/>
        <v>9146.6940611196551</v>
      </c>
      <c r="AB57" s="26">
        <f t="shared" si="76"/>
        <v>9695.4957047868356</v>
      </c>
    </row>
    <row r="58" spans="2:28">
      <c r="B58" s="31" t="s">
        <v>63</v>
      </c>
      <c r="C58" s="31"/>
      <c r="D58" s="31"/>
      <c r="E58" s="31"/>
      <c r="F58" s="31"/>
      <c r="G58" s="31"/>
      <c r="H58" s="31"/>
      <c r="I58" s="31"/>
      <c r="J58" s="31"/>
      <c r="K58" s="31"/>
      <c r="L58" s="39"/>
      <c r="M58" s="39">
        <f t="shared" ref="M58:T58" si="77">M57/L57-1</f>
        <v>0.17759463296614175</v>
      </c>
      <c r="N58" s="39">
        <f t="shared" si="77"/>
        <v>3.4018449992106348E-2</v>
      </c>
      <c r="O58" s="39">
        <f t="shared" si="77"/>
        <v>4.4020976178630544E-2</v>
      </c>
      <c r="P58" s="39">
        <f t="shared" si="77"/>
        <v>0.15280971290080858</v>
      </c>
      <c r="Q58" s="39">
        <f t="shared" si="77"/>
        <v>0.4024398005336538</v>
      </c>
      <c r="R58" s="39">
        <f t="shared" si="77"/>
        <v>0.52843236144119143</v>
      </c>
      <c r="S58" s="39">
        <f t="shared" si="77"/>
        <v>7.3772124532677008E-2</v>
      </c>
      <c r="T58" s="39">
        <f t="shared" si="77"/>
        <v>5.4468970805718442E-2</v>
      </c>
      <c r="U58" s="332">
        <v>0.03</v>
      </c>
      <c r="V58" s="332">
        <v>0.06</v>
      </c>
      <c r="W58" s="332">
        <v>0.06</v>
      </c>
      <c r="X58" s="332">
        <v>0.06</v>
      </c>
      <c r="Y58" s="332">
        <v>0.06</v>
      </c>
      <c r="Z58" s="332">
        <v>0.06</v>
      </c>
      <c r="AA58" s="332">
        <v>0.06</v>
      </c>
      <c r="AB58" s="332">
        <v>0.06</v>
      </c>
    </row>
    <row r="59" spans="2:28">
      <c r="B59" s="31" t="s">
        <v>78</v>
      </c>
      <c r="C59" s="31"/>
      <c r="D59" s="31"/>
      <c r="E59" s="31"/>
      <c r="F59" s="31"/>
      <c r="G59" s="31"/>
      <c r="H59" s="31"/>
      <c r="I59" s="31"/>
      <c r="J59" s="31"/>
      <c r="K59" s="31"/>
      <c r="L59" s="33">
        <v>148108</v>
      </c>
      <c r="M59" s="33">
        <v>208311</v>
      </c>
      <c r="N59" s="33">
        <v>248033</v>
      </c>
      <c r="O59" s="33">
        <v>275679</v>
      </c>
      <c r="P59" s="33">
        <v>317759</v>
      </c>
      <c r="Q59" s="33">
        <v>430054</v>
      </c>
      <c r="R59" s="329">
        <f>SUM(Interims!AM25:AP25)</f>
        <v>637769</v>
      </c>
      <c r="S59" s="329">
        <f>SUM(Interims!AQ25:AT25)</f>
        <v>659385</v>
      </c>
      <c r="T59" s="329">
        <f>S59*1.04</f>
        <v>685760.4</v>
      </c>
      <c r="U59" s="34">
        <f t="shared" ref="U59:AA59" si="78">U57*U47*12/1000</f>
        <v>712912.42843387893</v>
      </c>
      <c r="V59" s="34">
        <f t="shared" si="78"/>
        <v>746864.67018758703</v>
      </c>
      <c r="W59" s="34">
        <f t="shared" si="78"/>
        <v>780907.2868266158</v>
      </c>
      <c r="X59" s="34">
        <f t="shared" si="78"/>
        <v>816034.07854757912</v>
      </c>
      <c r="Y59" s="34">
        <f t="shared" si="78"/>
        <v>852228.45021537528</v>
      </c>
      <c r="Z59" s="34">
        <f t="shared" si="78"/>
        <v>889466.05954291485</v>
      </c>
      <c r="AA59" s="34">
        <f t="shared" si="78"/>
        <v>927713.8059093873</v>
      </c>
      <c r="AB59" s="34">
        <f t="shared" ref="AB59" si="79">AB57*AB47*12/1000</f>
        <v>966928.71501426282</v>
      </c>
    </row>
    <row r="60" spans="2:28">
      <c r="B60" s="21" t="s">
        <v>63</v>
      </c>
      <c r="C60" s="21"/>
      <c r="D60" s="21"/>
      <c r="E60" s="21"/>
      <c r="F60" s="21"/>
      <c r="G60" s="21"/>
      <c r="H60" s="21"/>
      <c r="I60" s="21"/>
      <c r="J60" s="21"/>
      <c r="K60" s="21"/>
      <c r="L60" s="38"/>
      <c r="M60" s="38">
        <f t="shared" ref="M60:AB60" si="80">M59/L59-1</f>
        <v>0.40648040619007753</v>
      </c>
      <c r="N60" s="38">
        <f t="shared" si="80"/>
        <v>0.19068604154365354</v>
      </c>
      <c r="O60" s="38">
        <f t="shared" si="80"/>
        <v>0.11146097495091389</v>
      </c>
      <c r="P60" s="38">
        <f t="shared" si="80"/>
        <v>0.15264129658044312</v>
      </c>
      <c r="Q60" s="38">
        <f t="shared" si="80"/>
        <v>0.35339675666149506</v>
      </c>
      <c r="R60" s="38">
        <f t="shared" si="80"/>
        <v>0.48299748403688847</v>
      </c>
      <c r="S60" s="38">
        <f t="shared" si="80"/>
        <v>3.3893149400488154E-2</v>
      </c>
      <c r="T60" s="38">
        <f t="shared" si="80"/>
        <v>4.0000000000000036E-2</v>
      </c>
      <c r="U60" s="38">
        <f t="shared" si="80"/>
        <v>3.9594045433184677E-2</v>
      </c>
      <c r="V60" s="38">
        <f t="shared" si="80"/>
        <v>4.762470171588129E-2</v>
      </c>
      <c r="W60" s="38">
        <f t="shared" si="80"/>
        <v>4.5580702900939851E-2</v>
      </c>
      <c r="X60" s="38">
        <f t="shared" si="80"/>
        <v>4.4982025796824754E-2</v>
      </c>
      <c r="Y60" s="38">
        <f t="shared" si="80"/>
        <v>4.4353995279482472E-2</v>
      </c>
      <c r="Z60" s="38">
        <f t="shared" si="80"/>
        <v>4.3694398277983826E-2</v>
      </c>
      <c r="AA60" s="38">
        <f t="shared" si="80"/>
        <v>4.3000793516649205E-2</v>
      </c>
      <c r="AB60" s="38">
        <f t="shared" si="80"/>
        <v>4.2270481322022935E-2</v>
      </c>
    </row>
    <row r="61" spans="2:28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2:28">
      <c r="B62" s="21" t="s">
        <v>79</v>
      </c>
      <c r="C62" s="21"/>
      <c r="D62" s="21"/>
      <c r="E62" s="21"/>
      <c r="F62" s="21"/>
      <c r="G62" s="21"/>
      <c r="H62" s="21"/>
      <c r="I62" s="21"/>
      <c r="J62" s="21"/>
      <c r="K62" s="21"/>
      <c r="L62" s="26">
        <f t="shared" ref="L62:S62" si="81">L50-L57</f>
        <v>7509.6102198455128</v>
      </c>
      <c r="M62" s="26">
        <f t="shared" si="81"/>
        <v>6923.6732135394905</v>
      </c>
      <c r="N62" s="26">
        <f t="shared" si="81"/>
        <v>6853.6830144987653</v>
      </c>
      <c r="O62" s="26">
        <f t="shared" si="81"/>
        <v>6901.4779644509363</v>
      </c>
      <c r="P62" s="26">
        <f t="shared" si="81"/>
        <v>5843.9243213845039</v>
      </c>
      <c r="Q62" s="26">
        <f t="shared" si="81"/>
        <v>5088.2509000370101</v>
      </c>
      <c r="R62" s="26">
        <f t="shared" si="81"/>
        <v>3005.3932466406586</v>
      </c>
      <c r="S62" s="26">
        <f t="shared" si="81"/>
        <v>3739.7763086813256</v>
      </c>
      <c r="T62" s="26">
        <f>T50-T57</f>
        <v>3043.5244426795207</v>
      </c>
      <c r="U62" s="26">
        <f t="shared" ref="U62:AA62" si="82">U96+U98</f>
        <v>2470.4745259654296</v>
      </c>
      <c r="V62" s="26">
        <f t="shared" si="82"/>
        <v>2191.4392715724034</v>
      </c>
      <c r="W62" s="26">
        <f t="shared" si="82"/>
        <v>1944.9578513497993</v>
      </c>
      <c r="X62" s="26">
        <f t="shared" si="82"/>
        <v>1727.2017711627966</v>
      </c>
      <c r="Y62" s="26">
        <f t="shared" si="82"/>
        <v>1534.7937488068587</v>
      </c>
      <c r="Z62" s="26">
        <f t="shared" si="82"/>
        <v>1364.7545001338372</v>
      </c>
      <c r="AA62" s="26">
        <f t="shared" si="82"/>
        <v>1214.4558026370655</v>
      </c>
      <c r="AB62" s="26">
        <f t="shared" ref="AB62" si="83">AB96+AB98</f>
        <v>1081.5790958718799</v>
      </c>
    </row>
    <row r="63" spans="2:28">
      <c r="B63" s="21" t="s">
        <v>63</v>
      </c>
      <c r="C63" s="21"/>
      <c r="D63" s="21"/>
      <c r="E63" s="21"/>
      <c r="F63" s="21"/>
      <c r="G63" s="21"/>
      <c r="H63" s="21"/>
      <c r="I63" s="21"/>
      <c r="J63" s="21"/>
      <c r="K63" s="21"/>
      <c r="L63" s="24"/>
      <c r="M63" s="24">
        <f t="shared" ref="M63:AB63" si="84">M62/L62-1</f>
        <v>-7.8024955910171889E-2</v>
      </c>
      <c r="N63" s="24">
        <f t="shared" si="84"/>
        <v>-1.0108824735381328E-2</v>
      </c>
      <c r="O63" s="24">
        <f t="shared" si="84"/>
        <v>6.9736154781396831E-3</v>
      </c>
      <c r="P63" s="24">
        <f t="shared" si="84"/>
        <v>-0.15323582115509493</v>
      </c>
      <c r="Q63" s="24">
        <f t="shared" si="84"/>
        <v>-0.12930924149415823</v>
      </c>
      <c r="R63" s="24">
        <f t="shared" si="84"/>
        <v>-0.40934649142030344</v>
      </c>
      <c r="S63" s="24">
        <f t="shared" si="84"/>
        <v>0.24435506496913151</v>
      </c>
      <c r="T63" s="24">
        <f t="shared" si="84"/>
        <v>-0.18617473574169707</v>
      </c>
      <c r="U63" s="24">
        <f t="shared" si="84"/>
        <v>-0.18828497273692912</v>
      </c>
      <c r="V63" s="24">
        <f t="shared" si="84"/>
        <v>-0.11294803952045729</v>
      </c>
      <c r="W63" s="24">
        <f t="shared" si="84"/>
        <v>-0.11247467516895804</v>
      </c>
      <c r="X63" s="24">
        <f t="shared" si="84"/>
        <v>-0.11195927975296749</v>
      </c>
      <c r="Y63" s="24">
        <f t="shared" si="84"/>
        <v>-0.11139869444807471</v>
      </c>
      <c r="Z63" s="24">
        <f t="shared" si="84"/>
        <v>-0.11078964115224554</v>
      </c>
      <c r="AA63" s="24">
        <f t="shared" si="84"/>
        <v>-0.11012874292191921</v>
      </c>
      <c r="AB63" s="24">
        <f t="shared" si="84"/>
        <v>-0.10941255044165266</v>
      </c>
    </row>
    <row r="64" spans="2:28">
      <c r="B64" s="21" t="s">
        <v>80</v>
      </c>
      <c r="C64" s="21"/>
      <c r="D64" s="21"/>
      <c r="E64" s="21"/>
      <c r="F64" s="21"/>
      <c r="G64" s="21"/>
      <c r="H64" s="21"/>
      <c r="I64" s="21"/>
      <c r="J64" s="21"/>
      <c r="K64" s="21"/>
      <c r="L64" s="29">
        <f>L62*L47*12/1000</f>
        <v>631933.69999999984</v>
      </c>
      <c r="M64" s="29">
        <f>M62*M47*12/1000</f>
        <v>695870.7</v>
      </c>
      <c r="N64" s="29">
        <f t="shared" ref="N64:T64" si="85">N62*N47*12/1000</f>
        <v>793204.15000000014</v>
      </c>
      <c r="O64" s="29">
        <f t="shared" si="85"/>
        <v>850331.09999999974</v>
      </c>
      <c r="P64" s="29">
        <f t="shared" si="85"/>
        <v>719924.72499999974</v>
      </c>
      <c r="Q64" s="29">
        <f t="shared" si="85"/>
        <v>604911.61999999988</v>
      </c>
      <c r="R64" s="29">
        <f t="shared" si="85"/>
        <v>346672.11099999998</v>
      </c>
      <c r="S64" s="29">
        <f t="shared" si="85"/>
        <v>415361.99550000014</v>
      </c>
      <c r="T64" s="29">
        <f t="shared" si="85"/>
        <v>333393.75450000004</v>
      </c>
      <c r="U64" s="29">
        <f t="shared" ref="U64:AA64" si="86">U62*U47*12/1000</f>
        <v>273141.44623967574</v>
      </c>
      <c r="V64" s="29">
        <f t="shared" si="86"/>
        <v>239461.9580810449</v>
      </c>
      <c r="W64" s="29">
        <f t="shared" si="86"/>
        <v>209637.50275772309</v>
      </c>
      <c r="X64" s="29">
        <f t="shared" si="86"/>
        <v>183529.04858023964</v>
      </c>
      <c r="Y64" s="29">
        <f t="shared" si="86"/>
        <v>160676.96782154401</v>
      </c>
      <c r="Z64" s="29">
        <f t="shared" si="86"/>
        <v>140677.81947531807</v>
      </c>
      <c r="AA64" s="29">
        <f t="shared" si="86"/>
        <v>123177.55543637979</v>
      </c>
      <c r="AB64" s="29">
        <f t="shared" ref="AB64" si="87">AB62*AB47*12/1000</f>
        <v>107865.54057688358</v>
      </c>
    </row>
    <row r="65" spans="2:28">
      <c r="B65" s="21" t="s">
        <v>63</v>
      </c>
      <c r="C65" s="21"/>
      <c r="D65" s="21"/>
      <c r="E65" s="21"/>
      <c r="F65" s="21"/>
      <c r="G65" s="21"/>
      <c r="H65" s="21"/>
      <c r="I65" s="21"/>
      <c r="J65" s="21"/>
      <c r="K65" s="21"/>
      <c r="L65" s="38"/>
      <c r="M65" s="38">
        <f t="shared" ref="M65:AB65" si="88">M64/L64-1</f>
        <v>0.10117675319420405</v>
      </c>
      <c r="N65" s="38">
        <f t="shared" si="88"/>
        <v>0.13987289592736141</v>
      </c>
      <c r="O65" s="38">
        <f t="shared" si="88"/>
        <v>7.2020488042075392E-2</v>
      </c>
      <c r="P65" s="38">
        <f t="shared" si="88"/>
        <v>-0.15335952665967412</v>
      </c>
      <c r="Q65" s="38">
        <f t="shared" si="88"/>
        <v>-0.15975712599674907</v>
      </c>
      <c r="R65" s="38">
        <f t="shared" si="88"/>
        <v>-0.42690452697866832</v>
      </c>
      <c r="S65" s="38">
        <f t="shared" si="88"/>
        <v>0.1981407858332167</v>
      </c>
      <c r="T65" s="38">
        <f t="shared" si="88"/>
        <v>-0.19734169685247493</v>
      </c>
      <c r="U65" s="38">
        <f t="shared" si="88"/>
        <v>-0.18072416608609354</v>
      </c>
      <c r="V65" s="38">
        <f t="shared" si="88"/>
        <v>-0.12330420235484085</v>
      </c>
      <c r="W65" s="38">
        <f t="shared" si="88"/>
        <v>-0.12454778020827773</v>
      </c>
      <c r="X65" s="38">
        <f t="shared" si="88"/>
        <v>-0.12454095204357041</v>
      </c>
      <c r="Y65" s="38">
        <f t="shared" si="88"/>
        <v>-0.12451478899649293</v>
      </c>
      <c r="Z65" s="38">
        <f t="shared" si="88"/>
        <v>-0.12446804677343681</v>
      </c>
      <c r="AA65" s="38">
        <f t="shared" si="88"/>
        <v>-0.12439959692443703</v>
      </c>
      <c r="AB65" s="38">
        <f t="shared" si="88"/>
        <v>-0.12430848140515938</v>
      </c>
    </row>
    <row r="66" spans="2:28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2:28">
      <c r="B67" s="21" t="s">
        <v>720</v>
      </c>
      <c r="C67" s="21"/>
      <c r="D67" s="21"/>
      <c r="E67" s="21"/>
      <c r="F67" s="21"/>
      <c r="G67" s="21"/>
      <c r="H67" s="21"/>
      <c r="I67" s="21"/>
      <c r="J67" s="21"/>
      <c r="K67" s="21"/>
      <c r="L67" s="30">
        <f>AVERAGE(Interims!O35:R35)</f>
        <v>195.25</v>
      </c>
      <c r="M67" s="30">
        <f>AVERAGE(Interims!S35:V35)</f>
        <v>194.25</v>
      </c>
      <c r="N67" s="30">
        <f>AVERAGE(Interims!W35:Z35)</f>
        <v>195.5</v>
      </c>
      <c r="O67" s="30">
        <f>AVERAGE(Interims!AA35:AD35)</f>
        <v>195.5</v>
      </c>
      <c r="P67" s="30">
        <f>AVERAGE(Interims!AE35:AH35)</f>
        <v>189.25</v>
      </c>
      <c r="Q67" s="30">
        <f>AVERAGE(Interims!AI35:AL35)</f>
        <v>196.5</v>
      </c>
      <c r="R67" s="30">
        <f>AVERAGE(Interims!AM35:AP35)</f>
        <v>209.5</v>
      </c>
      <c r="S67" s="30">
        <f>AVERAGE(Interims!AQ35:AT35)</f>
        <v>220.5</v>
      </c>
      <c r="T67" s="30">
        <f>AVERAGE(Interims!AU35:AX35)</f>
        <v>243.25</v>
      </c>
      <c r="U67" s="26">
        <f t="shared" ref="U67:AB67" si="89">T67*(1+U68)</f>
        <v>238.38499999999999</v>
      </c>
      <c r="V67" s="26">
        <f t="shared" si="89"/>
        <v>233.6173</v>
      </c>
      <c r="W67" s="26">
        <f t="shared" si="89"/>
        <v>228.944954</v>
      </c>
      <c r="X67" s="26">
        <f t="shared" si="89"/>
        <v>224.36605491999998</v>
      </c>
      <c r="Y67" s="26">
        <f t="shared" si="89"/>
        <v>219.87873382159998</v>
      </c>
      <c r="Z67" s="26">
        <f t="shared" si="89"/>
        <v>215.48115914516796</v>
      </c>
      <c r="AA67" s="26">
        <f t="shared" si="89"/>
        <v>211.17153596226461</v>
      </c>
      <c r="AB67" s="26">
        <f t="shared" si="89"/>
        <v>206.94810524301931</v>
      </c>
    </row>
    <row r="68" spans="2:28">
      <c r="B68" s="21" t="s">
        <v>63</v>
      </c>
      <c r="C68" s="21"/>
      <c r="D68" s="21"/>
      <c r="E68" s="21"/>
      <c r="F68" s="21"/>
      <c r="G68" s="21"/>
      <c r="H68" s="21"/>
      <c r="I68" s="21"/>
      <c r="J68" s="21"/>
      <c r="K68" s="21"/>
      <c r="L68" s="38"/>
      <c r="M68" s="38">
        <f t="shared" ref="M68:T68" si="90">M67/L67-1</f>
        <v>-5.1216389244558291E-3</v>
      </c>
      <c r="N68" s="38">
        <f t="shared" si="90"/>
        <v>6.4350064350064962E-3</v>
      </c>
      <c r="O68" s="38">
        <f t="shared" si="90"/>
        <v>0</v>
      </c>
      <c r="P68" s="38">
        <f t="shared" si="90"/>
        <v>-3.1969309462915652E-2</v>
      </c>
      <c r="Q68" s="38">
        <f t="shared" si="90"/>
        <v>3.8309114927344678E-2</v>
      </c>
      <c r="R68" s="38">
        <f t="shared" si="90"/>
        <v>6.61577608142494E-2</v>
      </c>
      <c r="S68" s="38">
        <f t="shared" si="90"/>
        <v>5.2505966587112152E-2</v>
      </c>
      <c r="T68" s="38">
        <f t="shared" si="90"/>
        <v>0.10317460317460325</v>
      </c>
      <c r="U68" s="46">
        <v>-0.02</v>
      </c>
      <c r="V68" s="46">
        <v>-0.02</v>
      </c>
      <c r="W68" s="46">
        <v>-0.02</v>
      </c>
      <c r="X68" s="46">
        <v>-0.02</v>
      </c>
      <c r="Y68" s="46">
        <v>-0.02</v>
      </c>
      <c r="Z68" s="46">
        <v>-0.02</v>
      </c>
      <c r="AA68" s="46">
        <v>-0.02</v>
      </c>
      <c r="AB68" s="46">
        <v>-0.02</v>
      </c>
    </row>
    <row r="69" spans="2:28">
      <c r="B69" s="21" t="s">
        <v>848</v>
      </c>
      <c r="C69" s="21"/>
      <c r="D69" s="21"/>
      <c r="E69" s="21"/>
      <c r="F69" s="21"/>
      <c r="G69" s="21"/>
      <c r="H69" s="21"/>
      <c r="I69" s="21"/>
      <c r="J69" s="21"/>
      <c r="K69" s="21"/>
      <c r="L69" s="29">
        <f t="shared" ref="L69:T69" si="91">L67-L76</f>
        <v>126.20959999999999</v>
      </c>
      <c r="M69" s="29">
        <f t="shared" si="91"/>
        <v>125.56319999999999</v>
      </c>
      <c r="N69" s="29">
        <f t="shared" si="91"/>
        <v>126.3712</v>
      </c>
      <c r="O69" s="29">
        <f t="shared" si="91"/>
        <v>126.3712</v>
      </c>
      <c r="P69" s="29">
        <f t="shared" si="91"/>
        <v>122.3312</v>
      </c>
      <c r="Q69" s="29">
        <f t="shared" si="91"/>
        <v>127.01759999999999</v>
      </c>
      <c r="R69" s="29">
        <f t="shared" si="91"/>
        <v>135.42079999999999</v>
      </c>
      <c r="S69" s="29">
        <f t="shared" si="91"/>
        <v>142.53119999999998</v>
      </c>
      <c r="T69" s="29">
        <f t="shared" si="91"/>
        <v>157.23679999999999</v>
      </c>
      <c r="U69" s="29">
        <f t="shared" ref="U69:AA69" si="92">U67-U76</f>
        <v>154.09206399999999</v>
      </c>
      <c r="V69" s="29">
        <f t="shared" si="92"/>
        <v>151.01022272</v>
      </c>
      <c r="W69" s="29">
        <f t="shared" si="92"/>
        <v>147.99001826559999</v>
      </c>
      <c r="X69" s="29">
        <f t="shared" si="92"/>
        <v>145.03021790028799</v>
      </c>
      <c r="Y69" s="29">
        <f t="shared" si="92"/>
        <v>142.12961354228221</v>
      </c>
      <c r="Z69" s="29">
        <f t="shared" si="92"/>
        <v>139.28702127143657</v>
      </c>
      <c r="AA69" s="29">
        <f t="shared" si="92"/>
        <v>136.50128084600783</v>
      </c>
      <c r="AB69" s="29">
        <f t="shared" ref="AB69" si="93">AB67-AB76</f>
        <v>133.77125522908767</v>
      </c>
    </row>
    <row r="70" spans="2:28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</row>
    <row r="71" spans="2:28">
      <c r="B71" s="327" t="s">
        <v>833</v>
      </c>
      <c r="C71" s="21"/>
      <c r="D71" s="21"/>
      <c r="E71" s="21"/>
      <c r="F71" s="21"/>
      <c r="G71" s="21"/>
      <c r="H71" s="21"/>
      <c r="I71" s="21"/>
      <c r="J71" s="21"/>
      <c r="K71" s="21"/>
      <c r="L71" s="330">
        <f t="shared" ref="L71:R71" si="94">0.68*L74</f>
        <v>69.040400000000005</v>
      </c>
      <c r="M71" s="330">
        <f t="shared" si="94"/>
        <v>68.686800000000005</v>
      </c>
      <c r="N71" s="330">
        <f t="shared" si="94"/>
        <v>69.128799999999998</v>
      </c>
      <c r="O71" s="330">
        <f t="shared" si="94"/>
        <v>69.128799999999998</v>
      </c>
      <c r="P71" s="330">
        <f t="shared" si="94"/>
        <v>66.918800000000005</v>
      </c>
      <c r="Q71" s="330">
        <f t="shared" si="94"/>
        <v>69.482400000000013</v>
      </c>
      <c r="R71" s="330">
        <f t="shared" si="94"/>
        <v>74.0792</v>
      </c>
      <c r="S71" s="330">
        <f t="shared" ref="S71:T71" si="95">0.68*S74</f>
        <v>77.968800000000016</v>
      </c>
      <c r="T71" s="330">
        <f t="shared" si="95"/>
        <v>86.013200000000012</v>
      </c>
      <c r="U71" s="26">
        <f t="shared" ref="R71:AB74" si="96">U$67/T$67*T71</f>
        <v>84.292936000000012</v>
      </c>
      <c r="V71" s="26">
        <f t="shared" si="96"/>
        <v>82.607077280000013</v>
      </c>
      <c r="W71" s="26">
        <f t="shared" si="96"/>
        <v>80.95493573440001</v>
      </c>
      <c r="X71" s="26">
        <f t="shared" si="96"/>
        <v>79.335837019712002</v>
      </c>
      <c r="Y71" s="26">
        <f t="shared" si="96"/>
        <v>77.749120279317765</v>
      </c>
      <c r="Z71" s="26">
        <f t="shared" si="96"/>
        <v>76.194137873731407</v>
      </c>
      <c r="AA71" s="26">
        <f t="shared" si="96"/>
        <v>74.670255116256783</v>
      </c>
      <c r="AB71" s="26">
        <f t="shared" si="96"/>
        <v>73.176850013931642</v>
      </c>
    </row>
    <row r="72" spans="2:28">
      <c r="B72" s="327" t="s">
        <v>834</v>
      </c>
      <c r="C72" s="21"/>
      <c r="D72" s="21"/>
      <c r="E72" s="21"/>
      <c r="F72" s="21"/>
      <c r="G72" s="21"/>
      <c r="H72" s="21"/>
      <c r="I72" s="21"/>
      <c r="J72" s="21"/>
      <c r="K72" s="21"/>
      <c r="L72" s="29">
        <f t="shared" ref="L72:Q72" si="97">L74-L71-L73</f>
        <v>22.336599999999997</v>
      </c>
      <c r="M72" s="29">
        <f t="shared" si="97"/>
        <v>22.222200000000001</v>
      </c>
      <c r="N72" s="29">
        <f t="shared" si="97"/>
        <v>22.365199999999998</v>
      </c>
      <c r="O72" s="29">
        <f t="shared" si="97"/>
        <v>22.365199999999998</v>
      </c>
      <c r="P72" s="29">
        <f t="shared" si="97"/>
        <v>21.650199999999991</v>
      </c>
      <c r="Q72" s="29">
        <f t="shared" si="97"/>
        <v>22.479599999999991</v>
      </c>
      <c r="R72" s="26">
        <f t="shared" si="96"/>
        <v>23.966799999999992</v>
      </c>
      <c r="S72" s="26">
        <f t="shared" si="96"/>
        <v>25.22519999999999</v>
      </c>
      <c r="T72" s="26">
        <f t="shared" si="96"/>
        <v>27.827799999999993</v>
      </c>
      <c r="U72" s="26">
        <f t="shared" si="96"/>
        <v>27.271243999999992</v>
      </c>
      <c r="V72" s="26">
        <f t="shared" si="96"/>
        <v>26.725819119999993</v>
      </c>
      <c r="W72" s="26">
        <f t="shared" si="96"/>
        <v>26.191302737599994</v>
      </c>
      <c r="X72" s="26">
        <f t="shared" si="96"/>
        <v>25.667476682847994</v>
      </c>
      <c r="Y72" s="26">
        <f t="shared" si="96"/>
        <v>25.154127149191034</v>
      </c>
      <c r="Z72" s="26">
        <f t="shared" si="96"/>
        <v>24.651044606207211</v>
      </c>
      <c r="AA72" s="26">
        <f t="shared" si="96"/>
        <v>24.158023714083068</v>
      </c>
      <c r="AB72" s="26">
        <f t="shared" si="96"/>
        <v>23.674863239801407</v>
      </c>
    </row>
    <row r="73" spans="2:28">
      <c r="B73" s="328" t="s">
        <v>835</v>
      </c>
      <c r="C73" s="31"/>
      <c r="D73" s="31"/>
      <c r="E73" s="31"/>
      <c r="F73" s="31"/>
      <c r="G73" s="31"/>
      <c r="H73" s="31"/>
      <c r="I73" s="31"/>
      <c r="J73" s="31"/>
      <c r="K73" s="31"/>
      <c r="L73" s="329">
        <f t="shared" ref="L73:T73" si="98">L74*0.1</f>
        <v>10.153</v>
      </c>
      <c r="M73" s="329">
        <f t="shared" si="98"/>
        <v>10.101000000000001</v>
      </c>
      <c r="N73" s="329">
        <f t="shared" si="98"/>
        <v>10.166</v>
      </c>
      <c r="O73" s="329">
        <f t="shared" si="98"/>
        <v>10.166</v>
      </c>
      <c r="P73" s="329">
        <f t="shared" si="98"/>
        <v>9.8410000000000011</v>
      </c>
      <c r="Q73" s="329">
        <f t="shared" si="98"/>
        <v>10.218000000000002</v>
      </c>
      <c r="R73" s="329">
        <f t="shared" si="98"/>
        <v>10.894</v>
      </c>
      <c r="S73" s="329">
        <f t="shared" si="98"/>
        <v>11.466000000000001</v>
      </c>
      <c r="T73" s="329">
        <f t="shared" si="98"/>
        <v>12.649000000000001</v>
      </c>
      <c r="U73" s="73">
        <f t="shared" si="96"/>
        <v>12.39602</v>
      </c>
      <c r="V73" s="73">
        <f t="shared" si="96"/>
        <v>12.148099600000002</v>
      </c>
      <c r="W73" s="73">
        <f t="shared" si="96"/>
        <v>11.905137608000002</v>
      </c>
      <c r="X73" s="73">
        <f t="shared" si="96"/>
        <v>11.667034855840003</v>
      </c>
      <c r="Y73" s="73">
        <f t="shared" si="96"/>
        <v>11.433694158723203</v>
      </c>
      <c r="Z73" s="73">
        <f t="shared" si="96"/>
        <v>11.205020275548739</v>
      </c>
      <c r="AA73" s="73">
        <f t="shared" si="96"/>
        <v>10.980919870037765</v>
      </c>
      <c r="AB73" s="73">
        <f t="shared" si="96"/>
        <v>10.76130147263701</v>
      </c>
    </row>
    <row r="74" spans="2:28">
      <c r="B74" s="327" t="s">
        <v>836</v>
      </c>
      <c r="C74" s="21"/>
      <c r="D74" s="21"/>
      <c r="E74" s="21"/>
      <c r="F74" s="21"/>
      <c r="G74" s="21"/>
      <c r="H74" s="21"/>
      <c r="I74" s="21"/>
      <c r="J74" s="21"/>
      <c r="K74" s="21"/>
      <c r="L74" s="29">
        <f t="shared" ref="L74:R74" si="99">L67-L79</f>
        <v>101.53</v>
      </c>
      <c r="M74" s="29">
        <f t="shared" si="99"/>
        <v>101.01</v>
      </c>
      <c r="N74" s="29">
        <f t="shared" si="99"/>
        <v>101.66</v>
      </c>
      <c r="O74" s="29">
        <f t="shared" si="99"/>
        <v>101.66</v>
      </c>
      <c r="P74" s="29">
        <f t="shared" si="99"/>
        <v>98.41</v>
      </c>
      <c r="Q74" s="29">
        <f t="shared" si="99"/>
        <v>102.18</v>
      </c>
      <c r="R74" s="29">
        <f t="shared" si="99"/>
        <v>108.94</v>
      </c>
      <c r="S74" s="29">
        <f t="shared" ref="S74:T74" si="100">S67-S79</f>
        <v>114.66000000000001</v>
      </c>
      <c r="T74" s="29">
        <f t="shared" si="100"/>
        <v>126.49000000000001</v>
      </c>
      <c r="U74" s="26">
        <f t="shared" si="96"/>
        <v>123.9602</v>
      </c>
      <c r="V74" s="26">
        <f t="shared" si="96"/>
        <v>121.48099600000002</v>
      </c>
      <c r="W74" s="26">
        <f t="shared" si="96"/>
        <v>119.05137608000001</v>
      </c>
      <c r="X74" s="26">
        <f t="shared" si="96"/>
        <v>116.67034855840001</v>
      </c>
      <c r="Y74" s="26">
        <f t="shared" si="96"/>
        <v>114.336941587232</v>
      </c>
      <c r="Z74" s="26">
        <f t="shared" si="96"/>
        <v>112.05020275548736</v>
      </c>
      <c r="AA74" s="26">
        <f t="shared" si="96"/>
        <v>109.80919870037761</v>
      </c>
      <c r="AB74" s="26">
        <f t="shared" si="96"/>
        <v>107.61301472637005</v>
      </c>
    </row>
    <row r="75" spans="2:28">
      <c r="B75" s="327"/>
      <c r="C75" s="21"/>
      <c r="D75" s="21"/>
      <c r="E75" s="21"/>
      <c r="F75" s="21"/>
      <c r="G75" s="21"/>
      <c r="H75" s="21"/>
      <c r="I75" s="21"/>
      <c r="J75" s="21"/>
      <c r="K75" s="21"/>
      <c r="L75" s="29"/>
      <c r="M75" s="29"/>
      <c r="N75" s="29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2:28">
      <c r="B76" s="327" t="s">
        <v>838</v>
      </c>
      <c r="C76" s="21"/>
      <c r="D76" s="21"/>
      <c r="E76" s="21"/>
      <c r="F76" s="21"/>
      <c r="G76" s="21"/>
      <c r="H76" s="21"/>
      <c r="I76" s="21"/>
      <c r="J76" s="21"/>
      <c r="K76" s="21"/>
      <c r="L76" s="29">
        <f t="shared" ref="L76:Q76" si="101">L71</f>
        <v>69.040400000000005</v>
      </c>
      <c r="M76" s="29">
        <f t="shared" si="101"/>
        <v>68.686800000000005</v>
      </c>
      <c r="N76" s="29">
        <f t="shared" si="101"/>
        <v>69.128799999999998</v>
      </c>
      <c r="O76" s="29">
        <f t="shared" si="101"/>
        <v>69.128799999999998</v>
      </c>
      <c r="P76" s="29">
        <f t="shared" si="101"/>
        <v>66.918800000000005</v>
      </c>
      <c r="Q76" s="29">
        <f t="shared" si="101"/>
        <v>69.482400000000013</v>
      </c>
      <c r="R76" s="29">
        <f t="shared" ref="R76:S76" si="102">R71</f>
        <v>74.0792</v>
      </c>
      <c r="S76" s="29">
        <f t="shared" si="102"/>
        <v>77.968800000000016</v>
      </c>
      <c r="T76" s="29">
        <f t="shared" ref="T76" si="103">T71</f>
        <v>86.013200000000012</v>
      </c>
      <c r="U76" s="26">
        <f t="shared" ref="U76:AB76" si="104">U$67/T$67*T76</f>
        <v>84.292936000000012</v>
      </c>
      <c r="V76" s="26">
        <f t="shared" si="104"/>
        <v>82.607077280000013</v>
      </c>
      <c r="W76" s="26">
        <f t="shared" si="104"/>
        <v>80.95493573440001</v>
      </c>
      <c r="X76" s="26">
        <f t="shared" si="104"/>
        <v>79.335837019712002</v>
      </c>
      <c r="Y76" s="26">
        <f t="shared" si="104"/>
        <v>77.749120279317765</v>
      </c>
      <c r="Z76" s="26">
        <f t="shared" si="104"/>
        <v>76.194137873731407</v>
      </c>
      <c r="AA76" s="26">
        <f t="shared" si="104"/>
        <v>74.670255116256783</v>
      </c>
      <c r="AB76" s="26">
        <f t="shared" si="104"/>
        <v>73.176850013931642</v>
      </c>
    </row>
    <row r="77" spans="2:28">
      <c r="B77" s="327" t="s">
        <v>839</v>
      </c>
      <c r="C77" s="21"/>
      <c r="D77" s="21"/>
      <c r="E77" s="21"/>
      <c r="F77" s="21"/>
      <c r="G77" s="21"/>
      <c r="H77" s="21"/>
      <c r="I77" s="21"/>
      <c r="J77" s="21"/>
      <c r="K77" s="21"/>
      <c r="L77" s="29">
        <f t="shared" ref="L77:Q77" si="105">L79-L76-L78</f>
        <v>20.930799999999994</v>
      </c>
      <c r="M77" s="29">
        <f t="shared" si="105"/>
        <v>20.823599999999988</v>
      </c>
      <c r="N77" s="29">
        <f t="shared" si="105"/>
        <v>20.957600000000006</v>
      </c>
      <c r="O77" s="29">
        <f t="shared" si="105"/>
        <v>20.957600000000006</v>
      </c>
      <c r="P77" s="29">
        <f>P79-P76-P78</f>
        <v>20.287599999999998</v>
      </c>
      <c r="Q77" s="29">
        <f t="shared" si="105"/>
        <v>21.06479999999998</v>
      </c>
      <c r="R77" s="29">
        <f t="shared" ref="R77:S77" si="106">R79-R76-R78</f>
        <v>22.458400000000001</v>
      </c>
      <c r="S77" s="29">
        <f t="shared" si="106"/>
        <v>23.637599999999974</v>
      </c>
      <c r="T77" s="29">
        <f t="shared" ref="T77" si="107">T79-T76-T78</f>
        <v>26.076399999999978</v>
      </c>
      <c r="U77" s="334">
        <f t="shared" ref="U77:AB77" si="108">T77*1.025</f>
        <v>26.728309999999976</v>
      </c>
      <c r="V77" s="334">
        <f t="shared" si="108"/>
        <v>27.396517749999973</v>
      </c>
      <c r="W77" s="334">
        <f t="shared" si="108"/>
        <v>28.081430693749969</v>
      </c>
      <c r="X77" s="334">
        <f t="shared" si="108"/>
        <v>28.783466461093717</v>
      </c>
      <c r="Y77" s="334">
        <f t="shared" si="108"/>
        <v>29.503053122621058</v>
      </c>
      <c r="Z77" s="334">
        <f t="shared" si="108"/>
        <v>30.24062945068658</v>
      </c>
      <c r="AA77" s="334">
        <f t="shared" si="108"/>
        <v>30.996645186953742</v>
      </c>
      <c r="AB77" s="334">
        <f t="shared" si="108"/>
        <v>31.771561316627583</v>
      </c>
    </row>
    <row r="78" spans="2:28">
      <c r="B78" s="328" t="s">
        <v>840</v>
      </c>
      <c r="C78" s="31"/>
      <c r="D78" s="31"/>
      <c r="E78" s="31"/>
      <c r="F78" s="31"/>
      <c r="G78" s="31"/>
      <c r="H78" s="31"/>
      <c r="I78" s="31"/>
      <c r="J78" s="31"/>
      <c r="K78" s="31"/>
      <c r="L78" s="329">
        <f t="shared" ref="L78:T78" si="109">0.04*L79</f>
        <v>3.7488000000000001</v>
      </c>
      <c r="M78" s="329">
        <f t="shared" si="109"/>
        <v>3.7296</v>
      </c>
      <c r="N78" s="329">
        <f t="shared" si="109"/>
        <v>3.7536</v>
      </c>
      <c r="O78" s="329">
        <f t="shared" si="109"/>
        <v>3.7536</v>
      </c>
      <c r="P78" s="329">
        <f t="shared" si="109"/>
        <v>3.6336000000000004</v>
      </c>
      <c r="Q78" s="329">
        <f t="shared" si="109"/>
        <v>3.7727999999999997</v>
      </c>
      <c r="R78" s="329">
        <f t="shared" si="109"/>
        <v>4.0224000000000002</v>
      </c>
      <c r="S78" s="329">
        <f t="shared" si="109"/>
        <v>4.2336</v>
      </c>
      <c r="T78" s="329">
        <f t="shared" si="109"/>
        <v>4.6703999999999999</v>
      </c>
      <c r="U78" s="73">
        <f t="shared" ref="U78:AB78" si="110">U$67/T$67*T78</f>
        <v>4.5769919999999997</v>
      </c>
      <c r="V78" s="73">
        <f t="shared" si="110"/>
        <v>4.4854521600000004</v>
      </c>
      <c r="W78" s="73">
        <f t="shared" si="110"/>
        <v>4.3957431168000003</v>
      </c>
      <c r="X78" s="73">
        <f t="shared" si="110"/>
        <v>4.3078282544639999</v>
      </c>
      <c r="Y78" s="73">
        <f t="shared" si="110"/>
        <v>4.2216716893747197</v>
      </c>
      <c r="Z78" s="73">
        <f t="shared" si="110"/>
        <v>4.1372382555872251</v>
      </c>
      <c r="AA78" s="73">
        <f t="shared" si="110"/>
        <v>4.0544934904754806</v>
      </c>
      <c r="AB78" s="73">
        <f t="shared" si="110"/>
        <v>3.9734036206659709</v>
      </c>
    </row>
    <row r="79" spans="2:28">
      <c r="B79" s="327" t="s">
        <v>837</v>
      </c>
      <c r="C79" s="21"/>
      <c r="D79" s="21"/>
      <c r="E79" s="21"/>
      <c r="F79" s="21"/>
      <c r="G79" s="21"/>
      <c r="H79" s="21"/>
      <c r="I79" s="21"/>
      <c r="J79" s="21"/>
      <c r="K79" s="21"/>
      <c r="L79" s="29">
        <f t="shared" ref="L79:R79" si="111">0.48*L67</f>
        <v>93.72</v>
      </c>
      <c r="M79" s="29">
        <f t="shared" si="111"/>
        <v>93.24</v>
      </c>
      <c r="N79" s="29">
        <f t="shared" si="111"/>
        <v>93.84</v>
      </c>
      <c r="O79" s="29">
        <f t="shared" si="111"/>
        <v>93.84</v>
      </c>
      <c r="P79" s="29">
        <f t="shared" si="111"/>
        <v>90.84</v>
      </c>
      <c r="Q79" s="29">
        <f t="shared" si="111"/>
        <v>94.32</v>
      </c>
      <c r="R79" s="29">
        <f t="shared" si="111"/>
        <v>100.56</v>
      </c>
      <c r="S79" s="29">
        <f t="shared" ref="S79:T79" si="112">0.48*S67</f>
        <v>105.83999999999999</v>
      </c>
      <c r="T79" s="29">
        <f t="shared" si="112"/>
        <v>116.75999999999999</v>
      </c>
      <c r="U79" s="26">
        <f t="shared" ref="U79:AA79" si="113">SUM(U76:U78)</f>
        <v>115.59823799999999</v>
      </c>
      <c r="V79" s="26">
        <f t="shared" si="113"/>
        <v>114.48904718999998</v>
      </c>
      <c r="W79" s="26">
        <f t="shared" si="113"/>
        <v>113.43210954494998</v>
      </c>
      <c r="X79" s="26">
        <f t="shared" si="113"/>
        <v>112.42713173526971</v>
      </c>
      <c r="Y79" s="26">
        <f t="shared" si="113"/>
        <v>111.47384509131354</v>
      </c>
      <c r="Z79" s="26">
        <f t="shared" si="113"/>
        <v>110.57200558000521</v>
      </c>
      <c r="AA79" s="26">
        <f t="shared" si="113"/>
        <v>109.721393793686</v>
      </c>
      <c r="AB79" s="26">
        <f t="shared" ref="AB79" si="114">SUM(AB76:AB78)</f>
        <v>108.9218149512252</v>
      </c>
    </row>
    <row r="80" spans="2:28">
      <c r="B80" s="327" t="s">
        <v>853</v>
      </c>
      <c r="C80" s="21"/>
      <c r="D80" s="21"/>
      <c r="E80" s="21"/>
      <c r="F80" s="21"/>
      <c r="G80" s="21"/>
      <c r="H80" s="21"/>
      <c r="I80" s="21"/>
      <c r="J80" s="21"/>
      <c r="K80" s="21"/>
      <c r="L80" s="29">
        <f>L79-L76</f>
        <v>24.679599999999994</v>
      </c>
      <c r="M80" s="29">
        <f t="shared" ref="M80:S80" si="115">M79-M76</f>
        <v>24.55319999999999</v>
      </c>
      <c r="N80" s="29">
        <f t="shared" si="115"/>
        <v>24.711200000000005</v>
      </c>
      <c r="O80" s="29">
        <f t="shared" si="115"/>
        <v>24.711200000000005</v>
      </c>
      <c r="P80" s="29">
        <f t="shared" si="115"/>
        <v>23.921199999999999</v>
      </c>
      <c r="Q80" s="29">
        <f>Q79-Q76</f>
        <v>24.837599999999981</v>
      </c>
      <c r="R80" s="29">
        <f t="shared" si="115"/>
        <v>26.480800000000002</v>
      </c>
      <c r="S80" s="29">
        <f t="shared" si="115"/>
        <v>27.871199999999973</v>
      </c>
      <c r="T80" s="29">
        <f t="shared" ref="T80" si="116">T79-T76</f>
        <v>30.746799999999979</v>
      </c>
      <c r="U80" s="29">
        <f t="shared" ref="U80:AA80" si="117">U79-U76</f>
        <v>31.305301999999983</v>
      </c>
      <c r="V80" s="29">
        <f t="shared" si="117"/>
        <v>31.881969909999967</v>
      </c>
      <c r="W80" s="29">
        <f t="shared" si="117"/>
        <v>32.477173810549971</v>
      </c>
      <c r="X80" s="29">
        <f t="shared" si="117"/>
        <v>33.091294715557709</v>
      </c>
      <c r="Y80" s="29">
        <f t="shared" si="117"/>
        <v>33.72472481199577</v>
      </c>
      <c r="Z80" s="29">
        <f t="shared" si="117"/>
        <v>34.377867706273804</v>
      </c>
      <c r="AA80" s="29">
        <f t="shared" si="117"/>
        <v>35.051138677429222</v>
      </c>
      <c r="AB80" s="29">
        <f t="shared" ref="AB80" si="118">AB79-AB76</f>
        <v>35.74496493729356</v>
      </c>
    </row>
    <row r="81" spans="2:28"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2:28">
      <c r="B82" s="21" t="s">
        <v>841</v>
      </c>
      <c r="C82" s="21"/>
      <c r="D82" s="21"/>
      <c r="E82" s="21"/>
      <c r="F82" s="21"/>
      <c r="G82" s="21"/>
      <c r="H82" s="21"/>
      <c r="I82" s="21"/>
      <c r="J82" s="21"/>
      <c r="K82" s="21"/>
      <c r="L82" s="29">
        <f t="shared" ref="L82:S82" si="119">L74*L47*12/1000</f>
        <v>8543.7494999999999</v>
      </c>
      <c r="M82" s="29">
        <f t="shared" si="119"/>
        <v>10152.111060000001</v>
      </c>
      <c r="N82" s="29">
        <f t="shared" si="119"/>
        <v>11765.51844</v>
      </c>
      <c r="O82" s="29">
        <f t="shared" si="119"/>
        <v>12525.5286</v>
      </c>
      <c r="P82" s="29">
        <f t="shared" si="119"/>
        <v>12123.324719999999</v>
      </c>
      <c r="Q82" s="29">
        <f t="shared" si="119"/>
        <v>12147.567120000002</v>
      </c>
      <c r="R82" s="29">
        <f t="shared" si="119"/>
        <v>12566.228999999999</v>
      </c>
      <c r="S82" s="29">
        <f t="shared" si="119"/>
        <v>12734.827560000002</v>
      </c>
      <c r="T82" s="29">
        <f t="shared" ref="T82" si="120">T74*T47*12/1000</f>
        <v>13855.967580000002</v>
      </c>
      <c r="U82" s="29">
        <f t="shared" ref="U82:AA82" si="121">U74*U47*12/1000</f>
        <v>13705.329866102513</v>
      </c>
      <c r="V82" s="29">
        <f t="shared" si="121"/>
        <v>13274.416293052394</v>
      </c>
      <c r="W82" s="29">
        <f t="shared" si="121"/>
        <v>12831.966082946814</v>
      </c>
      <c r="X82" s="29">
        <f t="shared" si="121"/>
        <v>12397.160786856253</v>
      </c>
      <c r="Y82" s="29">
        <f t="shared" si="121"/>
        <v>11969.890481054672</v>
      </c>
      <c r="Z82" s="29">
        <f t="shared" si="121"/>
        <v>11550.046688883178</v>
      </c>
      <c r="AA82" s="29">
        <f t="shared" si="121"/>
        <v>11137.522362666332</v>
      </c>
      <c r="AB82" s="29">
        <f t="shared" ref="AB82" si="122">AB74*AB47*12/1000</f>
        <v>10732.211865846797</v>
      </c>
    </row>
    <row r="83" spans="2:28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</row>
    <row r="84" spans="2:28">
      <c r="B84" s="21" t="s">
        <v>843</v>
      </c>
      <c r="C84" s="21"/>
      <c r="D84" s="21"/>
      <c r="E84" s="21"/>
      <c r="F84" s="21"/>
      <c r="G84" s="21"/>
      <c r="H84" s="21"/>
      <c r="I84" s="21"/>
      <c r="J84" s="21"/>
      <c r="K84" s="21"/>
      <c r="L84" s="29">
        <f t="shared" ref="L84:S84" si="123">L72*12*L47/1000</f>
        <v>1879.6248899999996</v>
      </c>
      <c r="M84" s="29">
        <f t="shared" si="123"/>
        <v>2233.4644331999998</v>
      </c>
      <c r="N84" s="29">
        <f t="shared" si="123"/>
        <v>2588.4140567999993</v>
      </c>
      <c r="O84" s="29">
        <f t="shared" si="123"/>
        <v>2755.6162919999992</v>
      </c>
      <c r="P84" s="29">
        <f t="shared" si="123"/>
        <v>2667.1314383999993</v>
      </c>
      <c r="Q84" s="29">
        <f t="shared" si="123"/>
        <v>2672.4647663999986</v>
      </c>
      <c r="R84" s="29">
        <f t="shared" si="123"/>
        <v>2764.5703799999987</v>
      </c>
      <c r="S84" s="29">
        <f t="shared" si="123"/>
        <v>2801.6620631999995</v>
      </c>
      <c r="T84" s="29">
        <f t="shared" ref="T84" si="124">T72*12*T47/1000</f>
        <v>3048.3128675999992</v>
      </c>
      <c r="U84" s="29">
        <f t="shared" ref="U84:AA84" si="125">U72*12*U47/1000</f>
        <v>3015.172570542552</v>
      </c>
      <c r="V84" s="29">
        <f t="shared" si="125"/>
        <v>2920.3715844715257</v>
      </c>
      <c r="W84" s="29">
        <f t="shared" si="125"/>
        <v>2823.0325382482979</v>
      </c>
      <c r="X84" s="29">
        <f t="shared" si="125"/>
        <v>2727.3753731083748</v>
      </c>
      <c r="Y84" s="29">
        <f t="shared" si="125"/>
        <v>2633.375905832027</v>
      </c>
      <c r="Z84" s="29">
        <f t="shared" si="125"/>
        <v>2541.010271554298</v>
      </c>
      <c r="AA84" s="29">
        <f t="shared" si="125"/>
        <v>2450.2549197865919</v>
      </c>
      <c r="AB84" s="29">
        <f t="shared" ref="AB84" si="126">AB72*12*AB47/1000</f>
        <v>2361.0866104862953</v>
      </c>
    </row>
    <row r="85" spans="2:28">
      <c r="B85" s="31" t="s">
        <v>842</v>
      </c>
      <c r="C85" s="31"/>
      <c r="D85" s="31"/>
      <c r="E85" s="31"/>
      <c r="F85" s="31"/>
      <c r="G85" s="31"/>
      <c r="H85" s="31"/>
      <c r="I85" s="31"/>
      <c r="J85" s="31"/>
      <c r="K85" s="31"/>
      <c r="L85" s="34">
        <f t="shared" ref="L85:S85" si="127">(L77+L78)*12*L47/1000</f>
        <v>2076.7883399999996</v>
      </c>
      <c r="M85" s="34">
        <f t="shared" si="127"/>
        <v>2467.7439191999988</v>
      </c>
      <c r="N85" s="34">
        <f t="shared" si="127"/>
        <v>2859.9260208000005</v>
      </c>
      <c r="O85" s="34">
        <f t="shared" si="127"/>
        <v>3044.6669520000005</v>
      </c>
      <c r="P85" s="34">
        <f t="shared" si="127"/>
        <v>2946.9004703999999</v>
      </c>
      <c r="Q85" s="34">
        <f t="shared" si="127"/>
        <v>2952.7932383999978</v>
      </c>
      <c r="R85" s="34">
        <f t="shared" si="127"/>
        <v>3054.5602800000001</v>
      </c>
      <c r="S85" s="34">
        <f t="shared" si="127"/>
        <v>3095.5426991999971</v>
      </c>
      <c r="T85" s="34">
        <f t="shared" ref="T85" si="128">(T77+T78)*12*T47/1000</f>
        <v>3368.065965599998</v>
      </c>
      <c r="U85" s="34">
        <f t="shared" ref="U85:AA85" si="129">(U77+U78)*12*U47/1000</f>
        <v>3461.1874655571573</v>
      </c>
      <c r="V85" s="34">
        <f t="shared" si="129"/>
        <v>3483.7921548479053</v>
      </c>
      <c r="W85" s="34">
        <f t="shared" si="129"/>
        <v>3500.5558652837508</v>
      </c>
      <c r="X85" s="34">
        <f t="shared" si="129"/>
        <v>3516.2156135041341</v>
      </c>
      <c r="Y85" s="34">
        <f t="shared" si="129"/>
        <v>3530.6284819181806</v>
      </c>
      <c r="Z85" s="34">
        <f t="shared" si="129"/>
        <v>3543.643539299766</v>
      </c>
      <c r="AA85" s="34">
        <f t="shared" si="129"/>
        <v>3555.1014439325313</v>
      </c>
      <c r="AB85" s="34">
        <f t="shared" ref="AB85" si="130">(AB77+AB78)*12*AB47/1000</f>
        <v>3564.8340288555705</v>
      </c>
    </row>
    <row r="86" spans="2:28">
      <c r="B86" s="21" t="s">
        <v>844</v>
      </c>
      <c r="C86" s="21"/>
      <c r="D86" s="21"/>
      <c r="E86" s="21"/>
      <c r="F86" s="21"/>
      <c r="G86" s="21"/>
      <c r="H86" s="21"/>
      <c r="I86" s="21"/>
      <c r="J86" s="21"/>
      <c r="K86" s="21"/>
      <c r="L86" s="29">
        <f>L85-L84</f>
        <v>197.16345000000001</v>
      </c>
      <c r="M86" s="29">
        <f>M85-M84</f>
        <v>234.279485999999</v>
      </c>
      <c r="N86" s="29">
        <f>N85-N84</f>
        <v>271.51196400000117</v>
      </c>
      <c r="O86" s="29">
        <f t="shared" ref="O86:S86" si="131">O85-O84</f>
        <v>289.05066000000124</v>
      </c>
      <c r="P86" s="29">
        <f t="shared" si="131"/>
        <v>279.76903200000061</v>
      </c>
      <c r="Q86" s="29">
        <f t="shared" si="131"/>
        <v>280.32847199999924</v>
      </c>
      <c r="R86" s="29">
        <f t="shared" si="131"/>
        <v>289.9899000000014</v>
      </c>
      <c r="S86" s="29">
        <f t="shared" si="131"/>
        <v>293.88063599999759</v>
      </c>
      <c r="T86" s="29">
        <f t="shared" ref="T86" si="132">T85-T84</f>
        <v>319.75309799999877</v>
      </c>
      <c r="U86" s="29">
        <f t="shared" ref="U86:AA86" si="133">U85-U84</f>
        <v>446.01489501460537</v>
      </c>
      <c r="V86" s="29">
        <f t="shared" si="133"/>
        <v>563.4205703763796</v>
      </c>
      <c r="W86" s="29">
        <f t="shared" si="133"/>
        <v>677.52332703545289</v>
      </c>
      <c r="X86" s="29">
        <f t="shared" si="133"/>
        <v>788.84024039575934</v>
      </c>
      <c r="Y86" s="29">
        <f t="shared" si="133"/>
        <v>897.25257608615357</v>
      </c>
      <c r="Z86" s="29">
        <f t="shared" si="133"/>
        <v>1002.6332677454679</v>
      </c>
      <c r="AA86" s="29">
        <f t="shared" si="133"/>
        <v>1104.8465241459394</v>
      </c>
      <c r="AB86" s="29">
        <f t="shared" ref="AB86" si="134">AB85-AB84</f>
        <v>1203.7474183692752</v>
      </c>
    </row>
    <row r="87" spans="2:28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</row>
    <row r="88" spans="2:28">
      <c r="B88" s="21" t="s">
        <v>383</v>
      </c>
      <c r="C88" s="21"/>
      <c r="D88" s="21"/>
      <c r="E88" s="21"/>
      <c r="F88" s="21"/>
      <c r="G88" s="21"/>
      <c r="H88" s="21"/>
      <c r="I88" s="21"/>
      <c r="J88" s="21"/>
      <c r="K88" s="21"/>
      <c r="L88" s="29">
        <v>65</v>
      </c>
      <c r="M88" s="29">
        <v>65</v>
      </c>
      <c r="N88" s="29">
        <v>65</v>
      </c>
      <c r="O88" s="29">
        <v>65</v>
      </c>
      <c r="P88" s="29">
        <f>(11*Analysis!D705+1*Analysis!C705)/12</f>
        <v>21.183333333333334</v>
      </c>
      <c r="Q88" s="29">
        <f>(11*Analysis!E705+1*Analysis!D705)/12</f>
        <v>14.908333333333331</v>
      </c>
      <c r="R88" s="29">
        <f>(11*Analysis!F705+1*Analysis!E705)/12</f>
        <v>12.408333333333331</v>
      </c>
      <c r="S88" s="29">
        <f>(11*Analysis!G705+1*Analysis!F705)/12</f>
        <v>9.8166666666666664</v>
      </c>
      <c r="T88" s="29">
        <f t="shared" ref="T88:AB88" si="135">(1+T89)*S88</f>
        <v>4.9083333333333332</v>
      </c>
      <c r="U88" s="29">
        <f t="shared" si="135"/>
        <v>4.6629166666666659</v>
      </c>
      <c r="V88" s="29">
        <f t="shared" si="135"/>
        <v>4.4297708333333325</v>
      </c>
      <c r="W88" s="29">
        <f t="shared" si="135"/>
        <v>4.2082822916666656</v>
      </c>
      <c r="X88" s="29">
        <f t="shared" si="135"/>
        <v>3.997868177083332</v>
      </c>
      <c r="Y88" s="29">
        <f t="shared" si="135"/>
        <v>3.7979747682291651</v>
      </c>
      <c r="Z88" s="29">
        <f t="shared" si="135"/>
        <v>3.6080760298177066</v>
      </c>
      <c r="AA88" s="29">
        <f t="shared" si="135"/>
        <v>3.4276722283268213</v>
      </c>
      <c r="AB88" s="29">
        <f t="shared" si="135"/>
        <v>3.2562886169104801</v>
      </c>
    </row>
    <row r="89" spans="2:28">
      <c r="B89" s="21" t="s">
        <v>63</v>
      </c>
      <c r="C89" s="21"/>
      <c r="D89" s="21"/>
      <c r="E89" s="21"/>
      <c r="F89" s="21"/>
      <c r="G89" s="21"/>
      <c r="H89" s="21"/>
      <c r="I89" s="21"/>
      <c r="J89" s="21"/>
      <c r="K89" s="21"/>
      <c r="L89" s="38"/>
      <c r="M89" s="38">
        <f t="shared" ref="M89:S89" si="136">M88/L88-1</f>
        <v>0</v>
      </c>
      <c r="N89" s="38">
        <f t="shared" si="136"/>
        <v>0</v>
      </c>
      <c r="O89" s="38">
        <f t="shared" si="136"/>
        <v>0</v>
      </c>
      <c r="P89" s="38">
        <f t="shared" si="136"/>
        <v>-0.67410256410256408</v>
      </c>
      <c r="Q89" s="38">
        <f t="shared" si="136"/>
        <v>-0.29622344610542894</v>
      </c>
      <c r="R89" s="38">
        <f t="shared" si="136"/>
        <v>-0.16769144773616551</v>
      </c>
      <c r="S89" s="38">
        <f t="shared" si="136"/>
        <v>-0.20886501007387503</v>
      </c>
      <c r="T89" s="46">
        <v>-0.5</v>
      </c>
      <c r="U89" s="46">
        <v>-0.05</v>
      </c>
      <c r="V89" s="46">
        <v>-0.05</v>
      </c>
      <c r="W89" s="46">
        <v>-0.05</v>
      </c>
      <c r="X89" s="46">
        <v>-0.05</v>
      </c>
      <c r="Y89" s="46">
        <v>-0.05</v>
      </c>
      <c r="Z89" s="46">
        <v>-0.05</v>
      </c>
      <c r="AA89" s="46">
        <v>-0.05</v>
      </c>
      <c r="AB89" s="46">
        <v>-0.05</v>
      </c>
    </row>
    <row r="90" spans="2:28">
      <c r="B90" s="21" t="s">
        <v>846</v>
      </c>
      <c r="C90" s="21"/>
      <c r="D90" s="21"/>
      <c r="E90" s="21"/>
      <c r="F90" s="21"/>
      <c r="G90" s="21"/>
      <c r="H90" s="21"/>
      <c r="I90" s="21"/>
      <c r="J90" s="21"/>
      <c r="K90" s="21"/>
      <c r="L90" s="331">
        <f t="shared" ref="L90:S90" si="137">L88/L52</f>
        <v>0.12745098039215685</v>
      </c>
      <c r="M90" s="331">
        <f t="shared" si="137"/>
        <v>0.13429752066115702</v>
      </c>
      <c r="N90" s="331">
        <f t="shared" si="137"/>
        <v>0.13374485596707819</v>
      </c>
      <c r="O90" s="331">
        <f t="shared" si="137"/>
        <v>0.13131313131313133</v>
      </c>
      <c r="P90" s="331">
        <f t="shared" si="137"/>
        <v>3.7098657326328083E-2</v>
      </c>
      <c r="Q90" s="331">
        <f t="shared" si="137"/>
        <v>2.2691527143581934E-2</v>
      </c>
      <c r="R90" s="331">
        <f t="shared" si="137"/>
        <v>1.8355522682445755E-2</v>
      </c>
      <c r="S90" s="331">
        <f t="shared" si="137"/>
        <v>1.5125834617360041E-2</v>
      </c>
      <c r="T90" s="331">
        <f t="shared" ref="T90" si="138">T88/T52</f>
        <v>7.645379023883697E-3</v>
      </c>
      <c r="U90" s="331">
        <f t="shared" ref="U90:AA90" si="139">U88/U52</f>
        <v>6.7189000960614781E-3</v>
      </c>
      <c r="V90" s="331">
        <f t="shared" si="139"/>
        <v>5.752949134199133E-3</v>
      </c>
      <c r="W90" s="331">
        <f t="shared" si="139"/>
        <v>5.3845336724031292E-3</v>
      </c>
      <c r="X90" s="331">
        <f t="shared" si="139"/>
        <v>5.039711318998003E-3</v>
      </c>
      <c r="Y90" s="331">
        <f t="shared" si="139"/>
        <v>4.7169711852690669E-3</v>
      </c>
      <c r="Z90" s="331">
        <f t="shared" si="139"/>
        <v>4.4148991389217872E-3</v>
      </c>
      <c r="AA90" s="331">
        <f t="shared" si="139"/>
        <v>4.1321716078578305E-3</v>
      </c>
      <c r="AB90" s="331">
        <f t="shared" ref="AB90" si="140">AB88/AB52</f>
        <v>3.867549780753635E-3</v>
      </c>
    </row>
    <row r="91" spans="2:28">
      <c r="B91" s="21" t="s">
        <v>845</v>
      </c>
      <c r="C91" s="21"/>
      <c r="D91" s="21"/>
      <c r="E91" s="21"/>
      <c r="F91" s="21"/>
      <c r="G91" s="21"/>
      <c r="H91" s="21"/>
      <c r="I91" s="21"/>
      <c r="J91" s="21"/>
      <c r="K91" s="21"/>
      <c r="L91" s="29">
        <f>L86*L88</f>
        <v>12815.624250000001</v>
      </c>
      <c r="M91" s="29">
        <f>M86*M88</f>
        <v>15228.166589999935</v>
      </c>
      <c r="N91" s="29">
        <f>N86*N88</f>
        <v>17648.277660000076</v>
      </c>
      <c r="O91" s="29">
        <f t="shared" ref="O91:S91" si="141">O86*O88</f>
        <v>18788.29290000008</v>
      </c>
      <c r="P91" s="29">
        <f t="shared" si="141"/>
        <v>5926.440661200013</v>
      </c>
      <c r="Q91" s="29">
        <f t="shared" si="141"/>
        <v>4179.2303033999879</v>
      </c>
      <c r="R91" s="29">
        <f t="shared" si="141"/>
        <v>3598.291342500017</v>
      </c>
      <c r="S91" s="29">
        <f t="shared" si="141"/>
        <v>2884.9282433999765</v>
      </c>
      <c r="T91" s="29">
        <f t="shared" ref="T91" si="142">T86*T88</f>
        <v>1569.4547893499939</v>
      </c>
      <c r="U91" s="29">
        <f t="shared" ref="U91:AA91" si="143">U86*U88</f>
        <v>2079.7302875451865</v>
      </c>
      <c r="V91" s="29">
        <f t="shared" si="143"/>
        <v>2495.8240095533165</v>
      </c>
      <c r="W91" s="29">
        <f t="shared" si="143"/>
        <v>2851.2094193543794</v>
      </c>
      <c r="X91" s="29">
        <f t="shared" si="143"/>
        <v>3153.6792938809717</v>
      </c>
      <c r="Y91" s="29">
        <f t="shared" si="143"/>
        <v>3407.7426447038306</v>
      </c>
      <c r="Z91" s="29">
        <f t="shared" si="143"/>
        <v>3617.5770600502215</v>
      </c>
      <c r="AA91" s="29">
        <f t="shared" si="143"/>
        <v>3787.0517473784553</v>
      </c>
      <c r="AB91" s="29">
        <f t="shared" ref="AB91" si="144">AB86*AB88</f>
        <v>3919.7490160712482</v>
      </c>
    </row>
    <row r="92" spans="2:28">
      <c r="B92" s="21" t="s">
        <v>847</v>
      </c>
      <c r="C92" s="21"/>
      <c r="D92" s="21"/>
      <c r="E92" s="21"/>
      <c r="F92" s="21"/>
      <c r="G92" s="21"/>
      <c r="H92" s="21"/>
      <c r="I92" s="21"/>
      <c r="J92" s="21"/>
      <c r="K92" s="21"/>
      <c r="L92" s="24">
        <f>L91/'Master old'!L233</f>
        <v>2.870697076130807E-2</v>
      </c>
      <c r="M92" s="24">
        <f>M91/'Master old'!M233</f>
        <v>2.9557834137876694E-2</v>
      </c>
      <c r="N92" s="24">
        <f>N91/'Master old'!N233</f>
        <v>3.2523893407049205E-2</v>
      </c>
      <c r="O92" s="24">
        <f>O91/'Master old'!O233</f>
        <v>4.0672758898380477E-2</v>
      </c>
      <c r="P92" s="24">
        <f>P91/'Master old'!P233</f>
        <v>1.6185827287177421E-2</v>
      </c>
      <c r="Q92" s="24">
        <f>Q91/'Master old'!Q233</f>
        <v>1.1456663093978353E-2</v>
      </c>
      <c r="R92" s="24">
        <f>R91/'Master old'!R233</f>
        <v>8.6439000158547163E-3</v>
      </c>
      <c r="S92" s="24">
        <f>S91/'Master old'!S233</f>
        <v>6.5551206044948034E-3</v>
      </c>
      <c r="T92" s="24">
        <f>T91/'Master old'!T233</f>
        <v>3.6762182917916757E-3</v>
      </c>
      <c r="U92" s="24">
        <f ca="1">U91/'Master old'!U233</f>
        <v>4.1317710481062059E-3</v>
      </c>
      <c r="V92" s="24">
        <f ca="1">V91/'Master old'!V233</f>
        <v>4.5412601518506849E-3</v>
      </c>
      <c r="W92" s="24">
        <f ca="1">W91/'Master old'!W233</f>
        <v>4.7582482544228409E-3</v>
      </c>
      <c r="X92" s="24">
        <f ca="1">X91/'Master old'!X233</f>
        <v>4.9254248888400895E-3</v>
      </c>
      <c r="Y92" s="24">
        <f ca="1">Y91/'Master old'!Y233</f>
        <v>4.9571337335407558E-3</v>
      </c>
      <c r="Z92" s="24">
        <f ca="1">Z91/'Master old'!Z233</f>
        <v>4.9442580646689698E-3</v>
      </c>
      <c r="AA92" s="24">
        <f ca="1">AA91/'Master old'!AA233</f>
        <v>4.8686511723614739E-3</v>
      </c>
      <c r="AB92" s="24">
        <f ca="1">AB91/'Master old'!AB233</f>
        <v>4.748705980230499E-3</v>
      </c>
    </row>
    <row r="93" spans="2:28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2:28">
      <c r="B94" s="47" t="s">
        <v>832</v>
      </c>
      <c r="C94" s="47"/>
      <c r="D94" s="47"/>
      <c r="E94" s="47"/>
      <c r="F94" s="47"/>
      <c r="G94" s="47"/>
      <c r="H94" s="47"/>
      <c r="I94" s="52"/>
      <c r="J94" s="52"/>
      <c r="K94" s="52"/>
      <c r="L94" s="48">
        <f t="shared" ref="L94:V94" si="145">L85*L88</f>
        <v>134991.24209999997</v>
      </c>
      <c r="M94" s="48">
        <f t="shared" si="145"/>
        <v>160403.35474799993</v>
      </c>
      <c r="N94" s="48">
        <f t="shared" si="145"/>
        <v>185895.19135200002</v>
      </c>
      <c r="O94" s="48">
        <f t="shared" si="145"/>
        <v>197903.35188000003</v>
      </c>
      <c r="P94" s="48">
        <f t="shared" si="145"/>
        <v>62425.174964639999</v>
      </c>
      <c r="Q94" s="48">
        <f t="shared" si="145"/>
        <v>44021.225862479958</v>
      </c>
      <c r="R94" s="48">
        <f t="shared" si="145"/>
        <v>37902.002140999997</v>
      </c>
      <c r="S94" s="48">
        <f t="shared" si="145"/>
        <v>30387.91083047997</v>
      </c>
      <c r="T94" s="48">
        <f t="shared" ref="T94" si="146">T85*T88</f>
        <v>16531.590447819988</v>
      </c>
      <c r="U94" s="48">
        <f t="shared" si="145"/>
        <v>16139.228719604225</v>
      </c>
      <c r="V94" s="48">
        <f t="shared" si="145"/>
        <v>15432.400876940732</v>
      </c>
      <c r="W94" s="48">
        <f t="shared" ref="W94:AA94" si="147">W85*W88</f>
        <v>14731.32725886349</v>
      </c>
      <c r="X94" s="48">
        <f t="shared" si="147"/>
        <v>14057.366504991722</v>
      </c>
      <c r="Y94" s="48">
        <f t="shared" si="147"/>
        <v>13409.237890316492</v>
      </c>
      <c r="Z94" s="48">
        <f t="shared" si="147"/>
        <v>12785.735312365865</v>
      </c>
      <c r="AA94" s="48">
        <f t="shared" si="147"/>
        <v>12185.722488252119</v>
      </c>
      <c r="AB94" s="48">
        <f t="shared" ref="AB94" si="148">AB85*AB88</f>
        <v>11608.12846933752</v>
      </c>
    </row>
    <row r="95" spans="2:28">
      <c r="B95" s="21" t="s">
        <v>850</v>
      </c>
      <c r="C95" s="21"/>
      <c r="D95" s="21"/>
      <c r="E95" s="21"/>
      <c r="F95" s="21"/>
      <c r="G95" s="21"/>
      <c r="H95" s="21"/>
      <c r="I95" s="24"/>
      <c r="J95" s="24"/>
      <c r="K95" s="24"/>
      <c r="L95" s="38">
        <f t="shared" ref="L95:S95" si="149">L94/L116</f>
        <v>0.16069333805524635</v>
      </c>
      <c r="M95" s="38">
        <f t="shared" si="149"/>
        <v>0.16592723844300603</v>
      </c>
      <c r="N95" s="38">
        <f t="shared" si="149"/>
        <v>0.16268208468788561</v>
      </c>
      <c r="O95" s="38">
        <f t="shared" si="149"/>
        <v>0.15561791760174756</v>
      </c>
      <c r="P95" s="38">
        <f t="shared" si="149"/>
        <v>5.4257613614420448E-2</v>
      </c>
      <c r="Q95" s="38">
        <f t="shared" si="149"/>
        <v>3.8272038509605526E-2</v>
      </c>
      <c r="R95" s="38">
        <f t="shared" si="149"/>
        <v>3.502452709313629E-2</v>
      </c>
      <c r="S95" s="38">
        <f t="shared" si="149"/>
        <v>2.8930314780875137E-2</v>
      </c>
      <c r="T95" s="38">
        <f t="shared" ref="T95" si="150">T94/T116</f>
        <v>1.6503880432573698E-2</v>
      </c>
      <c r="U95" s="38">
        <f t="shared" ref="U95:AA95" si="151">U94/U116</f>
        <v>1.6665801919895539E-2</v>
      </c>
      <c r="V95" s="38">
        <f t="shared" si="151"/>
        <v>1.5934328674223276E-2</v>
      </c>
      <c r="W95" s="38">
        <f t="shared" si="151"/>
        <v>1.5147269453915141E-2</v>
      </c>
      <c r="X95" s="38">
        <f t="shared" si="151"/>
        <v>1.4324104079954703E-2</v>
      </c>
      <c r="Y95" s="38">
        <f t="shared" si="151"/>
        <v>1.3482869796883932E-2</v>
      </c>
      <c r="Z95" s="38">
        <f t="shared" si="151"/>
        <v>1.2639200836761408E-2</v>
      </c>
      <c r="AA95" s="38">
        <f t="shared" si="151"/>
        <v>1.1806090214574209E-2</v>
      </c>
      <c r="AB95" s="38">
        <f t="shared" ref="AB95" si="152">AB94/AB116</f>
        <v>1.0993887159901424E-2</v>
      </c>
    </row>
    <row r="96" spans="2:28">
      <c r="B96" s="21" t="s">
        <v>852</v>
      </c>
      <c r="C96" s="21"/>
      <c r="D96" s="21"/>
      <c r="E96" s="21"/>
      <c r="F96" s="21"/>
      <c r="G96" s="21"/>
      <c r="H96" s="21"/>
      <c r="I96" s="24"/>
      <c r="J96" s="24"/>
      <c r="K96" s="24"/>
      <c r="L96" s="29">
        <f>L80*L88</f>
        <v>1604.1739999999995</v>
      </c>
      <c r="M96" s="29">
        <f t="shared" ref="M96:S96" si="153">M80*M88</f>
        <v>1595.9579999999994</v>
      </c>
      <c r="N96" s="29">
        <f t="shared" si="153"/>
        <v>1606.2280000000003</v>
      </c>
      <c r="O96" s="29">
        <f t="shared" si="153"/>
        <v>1606.2280000000003</v>
      </c>
      <c r="P96" s="29">
        <f t="shared" si="153"/>
        <v>506.73075333333333</v>
      </c>
      <c r="Q96" s="29">
        <f t="shared" si="153"/>
        <v>370.28721999999965</v>
      </c>
      <c r="R96" s="29">
        <f t="shared" si="153"/>
        <v>328.58259333333331</v>
      </c>
      <c r="S96" s="29">
        <f t="shared" si="153"/>
        <v>273.60227999999972</v>
      </c>
      <c r="T96" s="29">
        <f t="shared" ref="T96" si="154">T80*T88</f>
        <v>150.91554333333323</v>
      </c>
      <c r="U96" s="29">
        <f t="shared" ref="U96:AA96" si="155">U80*U88</f>
        <v>145.97401445083324</v>
      </c>
      <c r="V96" s="29">
        <f t="shared" si="155"/>
        <v>141.22982041652878</v>
      </c>
      <c r="W96" s="29">
        <f t="shared" si="155"/>
        <v>136.67311543031784</v>
      </c>
      <c r="X96" s="29">
        <f t="shared" si="155"/>
        <v>132.294634081814</v>
      </c>
      <c r="Y96" s="29">
        <f t="shared" si="155"/>
        <v>128.08565390143201</v>
      </c>
      <c r="Z96" s="29">
        <f t="shared" si="155"/>
        <v>124.03796042725074</v>
      </c>
      <c r="AA96" s="29">
        <f t="shared" si="155"/>
        <v>120.14381461585626</v>
      </c>
      <c r="AB96" s="29">
        <f t="shared" ref="AB96" si="156">AB80*AB88</f>
        <v>116.39592243717325</v>
      </c>
    </row>
    <row r="97" spans="2:28">
      <c r="B97" s="21"/>
      <c r="C97" s="21"/>
      <c r="D97" s="21"/>
      <c r="E97" s="21"/>
      <c r="F97" s="21"/>
      <c r="G97" s="21"/>
      <c r="H97" s="21"/>
      <c r="I97" s="24"/>
      <c r="J97" s="24"/>
      <c r="K97" s="24"/>
      <c r="L97" s="24"/>
      <c r="M97" s="24"/>
      <c r="N97" s="29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2:28">
      <c r="B98" s="21" t="s">
        <v>713</v>
      </c>
      <c r="C98" s="21"/>
      <c r="D98" s="21"/>
      <c r="E98" s="21"/>
      <c r="F98" s="21"/>
      <c r="G98" s="21"/>
      <c r="H98" s="21"/>
      <c r="I98" s="24"/>
      <c r="J98" s="24"/>
      <c r="K98" s="24"/>
      <c r="L98" s="29">
        <f t="shared" ref="L98:Q98" si="157">L62-L96</f>
        <v>5905.4362198455128</v>
      </c>
      <c r="M98" s="29">
        <f t="shared" si="157"/>
        <v>5327.7152135394908</v>
      </c>
      <c r="N98" s="29">
        <f t="shared" si="157"/>
        <v>5247.4550144987652</v>
      </c>
      <c r="O98" s="29">
        <f t="shared" si="157"/>
        <v>5295.2499644509362</v>
      </c>
      <c r="P98" s="29">
        <f t="shared" si="157"/>
        <v>5337.1935680511706</v>
      </c>
      <c r="Q98" s="29">
        <f t="shared" si="157"/>
        <v>4717.9636800370108</v>
      </c>
      <c r="R98" s="29">
        <f t="shared" ref="R98:S98" si="158">R62-R96</f>
        <v>2676.8106533073251</v>
      </c>
      <c r="S98" s="29">
        <f t="shared" si="158"/>
        <v>3466.174028681326</v>
      </c>
      <c r="T98" s="29">
        <f t="shared" ref="T98" si="159">T62-T96</f>
        <v>2892.6088993461876</v>
      </c>
      <c r="U98" s="29">
        <f t="shared" ref="U98:AA98" si="160">U99*U74</f>
        <v>2324.5005115145964</v>
      </c>
      <c r="V98" s="29">
        <f t="shared" si="160"/>
        <v>2050.2094511558748</v>
      </c>
      <c r="W98" s="29">
        <f t="shared" si="160"/>
        <v>1808.2847359194814</v>
      </c>
      <c r="X98" s="29">
        <f t="shared" si="160"/>
        <v>1594.9071370809827</v>
      </c>
      <c r="Y98" s="29">
        <f t="shared" si="160"/>
        <v>1406.7080949054268</v>
      </c>
      <c r="Z98" s="29">
        <f t="shared" si="160"/>
        <v>1240.7165397065864</v>
      </c>
      <c r="AA98" s="29">
        <f t="shared" si="160"/>
        <v>1094.3119880212093</v>
      </c>
      <c r="AB98" s="29">
        <f t="shared" ref="AB98" si="161">AB99*AB74</f>
        <v>965.18317343470653</v>
      </c>
    </row>
    <row r="99" spans="2:28">
      <c r="B99" s="21" t="s">
        <v>849</v>
      </c>
      <c r="C99" s="21"/>
      <c r="D99" s="21"/>
      <c r="E99" s="21"/>
      <c r="F99" s="21"/>
      <c r="G99" s="21"/>
      <c r="H99" s="21"/>
      <c r="I99" s="21"/>
      <c r="J99" s="21"/>
      <c r="K99" s="44"/>
      <c r="L99" s="26">
        <f t="shared" ref="L99:Q99" si="162">L98/L74</f>
        <v>58.164446172023176</v>
      </c>
      <c r="M99" s="26">
        <f t="shared" si="162"/>
        <v>52.744433358474318</v>
      </c>
      <c r="N99" s="26">
        <f t="shared" si="162"/>
        <v>51.617696384996705</v>
      </c>
      <c r="O99" s="26">
        <f t="shared" si="162"/>
        <v>52.08784147600764</v>
      </c>
      <c r="P99" s="26">
        <f t="shared" si="162"/>
        <v>54.23426042120893</v>
      </c>
      <c r="Q99" s="26">
        <f t="shared" si="162"/>
        <v>46.1730640050598</v>
      </c>
      <c r="R99" s="26">
        <f t="shared" ref="R99:S99" si="163">R98/R74</f>
        <v>24.57142145499656</v>
      </c>
      <c r="S99" s="26">
        <f t="shared" si="163"/>
        <v>30.230019437304428</v>
      </c>
      <c r="T99" s="26">
        <f t="shared" ref="T99" si="164">T98/T74</f>
        <v>22.868281281889377</v>
      </c>
      <c r="U99" s="26">
        <f t="shared" ref="U99:AB99" si="165">T99*(1+U100)</f>
        <v>18.751990651149292</v>
      </c>
      <c r="V99" s="26">
        <f t="shared" si="165"/>
        <v>16.876791586034365</v>
      </c>
      <c r="W99" s="26">
        <f t="shared" si="165"/>
        <v>15.189112427430929</v>
      </c>
      <c r="X99" s="26">
        <f t="shared" si="165"/>
        <v>13.670201184687837</v>
      </c>
      <c r="Y99" s="26">
        <f t="shared" si="165"/>
        <v>12.303181066219054</v>
      </c>
      <c r="Z99" s="26">
        <f t="shared" si="165"/>
        <v>11.072862959597149</v>
      </c>
      <c r="AA99" s="26">
        <f t="shared" si="165"/>
        <v>9.9655766636374352</v>
      </c>
      <c r="AB99" s="26">
        <f t="shared" si="165"/>
        <v>8.9690189972736913</v>
      </c>
    </row>
    <row r="100" spans="2:28">
      <c r="B100" s="21" t="s">
        <v>63</v>
      </c>
      <c r="C100" s="21"/>
      <c r="D100" s="21"/>
      <c r="E100" s="21"/>
      <c r="F100" s="21"/>
      <c r="G100" s="21"/>
      <c r="H100" s="21"/>
      <c r="I100" s="21"/>
      <c r="J100" s="21"/>
      <c r="K100" s="42"/>
      <c r="L100" s="42"/>
      <c r="M100" s="42">
        <f t="shared" ref="M100:T100" si="166">M99/L99-1</f>
        <v>-9.3184293331341927E-2</v>
      </c>
      <c r="N100" s="42">
        <f t="shared" si="166"/>
        <v>-2.1362196951094647E-2</v>
      </c>
      <c r="O100" s="42">
        <f t="shared" si="166"/>
        <v>9.108215281524723E-3</v>
      </c>
      <c r="P100" s="42">
        <f t="shared" si="166"/>
        <v>4.1207676962193851E-2</v>
      </c>
      <c r="Q100" s="42">
        <f t="shared" si="166"/>
        <v>-0.14863660633595932</v>
      </c>
      <c r="R100" s="42">
        <f t="shared" si="166"/>
        <v>-0.46784078586805633</v>
      </c>
      <c r="S100" s="42">
        <f t="shared" si="166"/>
        <v>0.23029184504737721</v>
      </c>
      <c r="T100" s="42">
        <f t="shared" si="166"/>
        <v>-0.24352409599613167</v>
      </c>
      <c r="U100" s="46">
        <v>-0.18</v>
      </c>
      <c r="V100" s="46">
        <v>-0.1</v>
      </c>
      <c r="W100" s="46">
        <v>-0.1</v>
      </c>
      <c r="X100" s="46">
        <v>-0.1</v>
      </c>
      <c r="Y100" s="46">
        <v>-0.1</v>
      </c>
      <c r="Z100" s="46">
        <v>-0.1</v>
      </c>
      <c r="AA100" s="46">
        <v>-0.1</v>
      </c>
      <c r="AB100" s="46">
        <v>-0.1</v>
      </c>
    </row>
    <row r="101" spans="2:28">
      <c r="B101" s="21" t="s">
        <v>81</v>
      </c>
      <c r="C101" s="21"/>
      <c r="D101" s="21"/>
      <c r="E101" s="21"/>
      <c r="F101" s="21"/>
      <c r="G101" s="21"/>
      <c r="H101" s="21"/>
      <c r="I101" s="21"/>
      <c r="J101" s="21"/>
      <c r="K101" s="44"/>
      <c r="L101" s="333">
        <f t="shared" ref="L101:S101" si="167">L99/L52</f>
        <v>0.11404793367063368</v>
      </c>
      <c r="M101" s="333">
        <f t="shared" si="167"/>
        <v>0.10897610198031883</v>
      </c>
      <c r="N101" s="333">
        <f t="shared" si="167"/>
        <v>0.10620925182098087</v>
      </c>
      <c r="O101" s="333">
        <f t="shared" si="167"/>
        <v>0.10522796257779321</v>
      </c>
      <c r="P101" s="333">
        <f>P99/P52</f>
        <v>9.4981191630838763E-2</v>
      </c>
      <c r="Q101" s="333">
        <f t="shared" si="167"/>
        <v>7.0278636232967734E-2</v>
      </c>
      <c r="R101" s="333">
        <f t="shared" ref="R101" si="168">R99/R52</f>
        <v>3.6348256590231595E-2</v>
      </c>
      <c r="S101" s="333">
        <f t="shared" si="167"/>
        <v>4.6579382800160905E-2</v>
      </c>
      <c r="T101" s="333">
        <f t="shared" ref="T101" si="169">T99/T52</f>
        <v>3.5620375828488128E-2</v>
      </c>
      <c r="U101" s="333">
        <f t="shared" ref="U101:AA101" si="170">U99/U52</f>
        <v>2.7020159439696385E-2</v>
      </c>
      <c r="V101" s="333">
        <f t="shared" si="170"/>
        <v>2.191791115069398E-2</v>
      </c>
      <c r="W101" s="333">
        <f t="shared" si="170"/>
        <v>1.9434601020319787E-2</v>
      </c>
      <c r="X101" s="333">
        <f t="shared" si="170"/>
        <v>1.7232651151022474E-2</v>
      </c>
      <c r="Y101" s="333">
        <f t="shared" si="170"/>
        <v>1.5280183286620916E-2</v>
      </c>
      <c r="Z101" s="333">
        <f t="shared" si="170"/>
        <v>1.3548930993062883E-2</v>
      </c>
      <c r="AA101" s="333">
        <f t="shared" si="170"/>
        <v>1.2013830437198617E-2</v>
      </c>
      <c r="AB101" s="333">
        <f t="shared" ref="AB101" si="171">AB99/AB52</f>
        <v>1.0652657530520943E-2</v>
      </c>
    </row>
    <row r="102" spans="2:28">
      <c r="B102" s="21" t="s">
        <v>63</v>
      </c>
      <c r="C102" s="21"/>
      <c r="D102" s="21"/>
      <c r="E102" s="21"/>
      <c r="F102" s="21"/>
      <c r="G102" s="21"/>
      <c r="H102" s="21"/>
      <c r="I102" s="24"/>
      <c r="J102" s="24"/>
      <c r="K102" s="24"/>
      <c r="L102" s="24"/>
      <c r="M102" s="24">
        <f t="shared" ref="M102:AB102" si="172">M101/L101-1</f>
        <v>-4.4471052890463714E-2</v>
      </c>
      <c r="N102" s="24">
        <f t="shared" si="172"/>
        <v>-2.5389513013024279E-2</v>
      </c>
      <c r="O102" s="24">
        <f t="shared" si="172"/>
        <v>-9.2392068145028539E-3</v>
      </c>
      <c r="P102" s="24">
        <f t="shared" si="172"/>
        <v>-9.7376882493369399E-2</v>
      </c>
      <c r="Q102" s="24">
        <f t="shared" si="172"/>
        <v>-0.26007838998148058</v>
      </c>
      <c r="R102" s="24">
        <f t="shared" si="172"/>
        <v>-0.48279792354336248</v>
      </c>
      <c r="S102" s="24">
        <f t="shared" si="172"/>
        <v>0.28147501887831594</v>
      </c>
      <c r="T102" s="24">
        <f t="shared" si="172"/>
        <v>-0.23527591635746015</v>
      </c>
      <c r="U102" s="24">
        <f t="shared" si="172"/>
        <v>-0.24144092219020163</v>
      </c>
      <c r="V102" s="24">
        <f t="shared" si="172"/>
        <v>-0.18883116883116868</v>
      </c>
      <c r="W102" s="24">
        <f t="shared" si="172"/>
        <v>-0.11330049261083741</v>
      </c>
      <c r="X102" s="24">
        <f t="shared" si="172"/>
        <v>-0.1133004926108373</v>
      </c>
      <c r="Y102" s="24">
        <f t="shared" si="172"/>
        <v>-0.1133004926108373</v>
      </c>
      <c r="Z102" s="24">
        <f t="shared" si="172"/>
        <v>-0.1133004926108373</v>
      </c>
      <c r="AA102" s="24">
        <f t="shared" si="172"/>
        <v>-0.1133004926108373</v>
      </c>
      <c r="AB102" s="24">
        <f t="shared" si="172"/>
        <v>-0.1133004926108373</v>
      </c>
    </row>
    <row r="103" spans="2:28">
      <c r="B103" s="47" t="s">
        <v>851</v>
      </c>
      <c r="C103" s="47"/>
      <c r="D103" s="47"/>
      <c r="E103" s="47"/>
      <c r="F103" s="47"/>
      <c r="G103" s="47"/>
      <c r="H103" s="47"/>
      <c r="I103" s="52"/>
      <c r="J103" s="52"/>
      <c r="K103" s="52"/>
      <c r="L103" s="48">
        <f t="shared" ref="L103:V103" si="173">L64-L94</f>
        <v>496942.45789999986</v>
      </c>
      <c r="M103" s="48">
        <f t="shared" si="173"/>
        <v>535467.34525200003</v>
      </c>
      <c r="N103" s="48">
        <f t="shared" si="173"/>
        <v>607308.95864800015</v>
      </c>
      <c r="O103" s="48">
        <f t="shared" si="173"/>
        <v>652427.74811999965</v>
      </c>
      <c r="P103" s="48">
        <f>P64-P94</f>
        <v>657499.5500353598</v>
      </c>
      <c r="Q103" s="48">
        <f>Q64-Q94</f>
        <v>560890.39413751988</v>
      </c>
      <c r="R103" s="48">
        <f>R64-R94</f>
        <v>308770.10885899997</v>
      </c>
      <c r="S103" s="48">
        <f t="shared" si="173"/>
        <v>384974.08466952015</v>
      </c>
      <c r="T103" s="48">
        <f t="shared" ref="T103" si="174">T64-T94</f>
        <v>316862.16405218007</v>
      </c>
      <c r="U103" s="48">
        <f t="shared" si="173"/>
        <v>257002.21752007151</v>
      </c>
      <c r="V103" s="48">
        <f t="shared" si="173"/>
        <v>224029.55720410417</v>
      </c>
      <c r="W103" s="48">
        <f t="shared" ref="W103:AA103" si="175">W64-W94</f>
        <v>194906.17549885961</v>
      </c>
      <c r="X103" s="48">
        <f t="shared" si="175"/>
        <v>169471.68207524793</v>
      </c>
      <c r="Y103" s="48">
        <f t="shared" si="175"/>
        <v>147267.72993122751</v>
      </c>
      <c r="Z103" s="48">
        <f t="shared" si="175"/>
        <v>127892.0841629522</v>
      </c>
      <c r="AA103" s="48">
        <f t="shared" si="175"/>
        <v>110991.83294812767</v>
      </c>
      <c r="AB103" s="48">
        <f t="shared" ref="AB103" si="176">AB64-AB94</f>
        <v>96257.412107546057</v>
      </c>
    </row>
    <row r="104" spans="2:28">
      <c r="B104" s="21" t="s">
        <v>63</v>
      </c>
      <c r="C104" s="21"/>
      <c r="D104" s="21"/>
      <c r="E104" s="21"/>
      <c r="F104" s="21"/>
      <c r="G104" s="21"/>
      <c r="H104" s="21"/>
      <c r="I104" s="24"/>
      <c r="J104" s="24"/>
      <c r="K104" s="24"/>
      <c r="L104" s="24"/>
      <c r="M104" s="24">
        <f>M103/L103-1</f>
        <v>7.752383951011188E-2</v>
      </c>
      <c r="N104" s="24">
        <f t="shared" ref="N104:AB104" si="177">N103/M103-1</f>
        <v>0.13416618965287275</v>
      </c>
      <c r="O104" s="24">
        <f t="shared" si="177"/>
        <v>7.4292975312670428E-2</v>
      </c>
      <c r="P104" s="24">
        <f t="shared" si="177"/>
        <v>7.773737291178584E-3</v>
      </c>
      <c r="Q104" s="24">
        <f t="shared" si="177"/>
        <v>-0.14693417796657715</v>
      </c>
      <c r="R104" s="24">
        <f t="shared" si="177"/>
        <v>-0.44950009469533669</v>
      </c>
      <c r="S104" s="24">
        <f t="shared" si="177"/>
        <v>0.24679842259381002</v>
      </c>
      <c r="T104" s="24">
        <f t="shared" si="177"/>
        <v>-0.17692598886444666</v>
      </c>
      <c r="U104" s="24">
        <f t="shared" si="177"/>
        <v>-0.18891478164067255</v>
      </c>
      <c r="V104" s="24">
        <f t="shared" si="177"/>
        <v>-0.12829718215716257</v>
      </c>
      <c r="W104" s="24">
        <f t="shared" si="177"/>
        <v>-0.12999794343525595</v>
      </c>
      <c r="X104" s="24">
        <f t="shared" si="177"/>
        <v>-0.13049608796905721</v>
      </c>
      <c r="Y104" s="24">
        <f t="shared" si="177"/>
        <v>-0.13101865675801538</v>
      </c>
      <c r="Z104" s="24">
        <f t="shared" si="177"/>
        <v>-0.13156749124416822</v>
      </c>
      <c r="AA104" s="24">
        <f t="shared" si="177"/>
        <v>-0.13214462275312733</v>
      </c>
      <c r="AB104" s="24">
        <f t="shared" si="177"/>
        <v>-0.13275229761695884</v>
      </c>
    </row>
    <row r="105" spans="2:28">
      <c r="B105" s="21"/>
      <c r="C105" s="21"/>
      <c r="D105" s="21"/>
      <c r="E105" s="21"/>
      <c r="F105" s="21"/>
      <c r="G105" s="21"/>
      <c r="H105" s="21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2:28">
      <c r="B106" s="21"/>
      <c r="C106" s="21"/>
      <c r="D106" s="21"/>
      <c r="E106" s="21"/>
      <c r="F106" s="21"/>
      <c r="G106" s="21"/>
      <c r="H106" s="21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2:28">
      <c r="B107" s="47" t="s">
        <v>82</v>
      </c>
      <c r="C107" s="47"/>
      <c r="D107" s="47"/>
      <c r="E107" s="47"/>
      <c r="F107" s="47"/>
      <c r="G107" s="47"/>
      <c r="H107" s="47"/>
      <c r="I107" s="48"/>
      <c r="J107" s="48"/>
      <c r="K107" s="48">
        <f>SUM(Interims!K16:N16)</f>
        <v>683745.3</v>
      </c>
      <c r="L107" s="155">
        <f>SUM(Interims!O16:R16)</f>
        <v>780041.7</v>
      </c>
      <c r="M107" s="155">
        <f>SUM(Interims!S16:V16)</f>
        <v>904181.7</v>
      </c>
      <c r="N107" s="155">
        <f>SUM(Interims!W16:Z16)</f>
        <v>1041237.1499999999</v>
      </c>
      <c r="O107" s="155">
        <f>SUM(Interims!AA16:AD16)</f>
        <v>1126010.1000000001</v>
      </c>
      <c r="P107" s="155">
        <f>SUM(Interims!AE16:AH16)</f>
        <v>1037683.725</v>
      </c>
      <c r="Q107" s="155">
        <f>SUM(Interims!AI16:AL16)</f>
        <v>1034965.6199999999</v>
      </c>
      <c r="R107" s="155">
        <f>SUM(Interims!AM16:AP16)</f>
        <v>984441.11100000003</v>
      </c>
      <c r="S107" s="155">
        <f>SUM(Interims!AQ16:AT16)</f>
        <v>1074746.9955</v>
      </c>
      <c r="T107" s="155">
        <f>SUM(Interims!AU16:AX16)</f>
        <v>1019154.1544999999</v>
      </c>
      <c r="U107" s="48">
        <f>U59+U94+U103</f>
        <v>986053.87467355467</v>
      </c>
      <c r="V107" s="48">
        <f t="shared" ref="V107:AA107" si="178">V59+V94+V103</f>
        <v>986326.62826863187</v>
      </c>
      <c r="W107" s="48">
        <f t="shared" si="178"/>
        <v>990544.7895843389</v>
      </c>
      <c r="X107" s="48">
        <f t="shared" si="178"/>
        <v>999563.12712781876</v>
      </c>
      <c r="Y107" s="48">
        <f t="shared" si="178"/>
        <v>1012905.4180369193</v>
      </c>
      <c r="Z107" s="48">
        <f t="shared" si="178"/>
        <v>1030143.8790182329</v>
      </c>
      <c r="AA107" s="48">
        <f t="shared" si="178"/>
        <v>1050891.361345767</v>
      </c>
      <c r="AB107" s="48">
        <f t="shared" ref="AB107" si="179">AB59+AB94+AB103</f>
        <v>1074794.2555911464</v>
      </c>
    </row>
    <row r="108" spans="2:28">
      <c r="B108" s="21" t="s">
        <v>63</v>
      </c>
      <c r="C108" s="21"/>
      <c r="D108" s="21"/>
      <c r="E108" s="21"/>
      <c r="F108" s="21"/>
      <c r="G108" s="21"/>
      <c r="H108" s="21"/>
      <c r="I108" s="38"/>
      <c r="J108" s="38"/>
      <c r="K108" s="38"/>
      <c r="L108" s="38">
        <f>L107/K107-1</f>
        <v>0.14083665364866116</v>
      </c>
      <c r="M108" s="38">
        <f t="shared" ref="M108:T108" si="180">M107/L107-1</f>
        <v>0.1591453379992378</v>
      </c>
      <c r="N108" s="38">
        <f t="shared" si="180"/>
        <v>0.15157954424425979</v>
      </c>
      <c r="O108" s="38">
        <f t="shared" si="180"/>
        <v>8.1415602583907232E-2</v>
      </c>
      <c r="P108" s="38">
        <f t="shared" si="180"/>
        <v>-7.8441902963392707E-2</v>
      </c>
      <c r="Q108" s="38">
        <f t="shared" si="180"/>
        <v>-2.6193963868905712E-3</v>
      </c>
      <c r="R108" s="38">
        <f t="shared" si="180"/>
        <v>-4.8817572317039759E-2</v>
      </c>
      <c r="S108" s="38">
        <f t="shared" si="180"/>
        <v>9.1733150404768038E-2</v>
      </c>
      <c r="T108" s="38">
        <f t="shared" si="180"/>
        <v>-5.1726444672810401E-2</v>
      </c>
      <c r="U108" s="38">
        <f t="shared" ref="U108:AB108" si="181">U107/T107-1</f>
        <v>-3.2478187603213304E-2</v>
      </c>
      <c r="V108" s="38">
        <f t="shared" si="181"/>
        <v>2.7661125023970001E-4</v>
      </c>
      <c r="W108" s="38">
        <f t="shared" si="181"/>
        <v>4.2766373682028291E-3</v>
      </c>
      <c r="X108" s="38">
        <f t="shared" si="181"/>
        <v>9.1044217669997707E-3</v>
      </c>
      <c r="Y108" s="38">
        <f t="shared" si="181"/>
        <v>1.3348122341646285E-2</v>
      </c>
      <c r="Z108" s="38">
        <f t="shared" si="181"/>
        <v>1.7018825918339919E-2</v>
      </c>
      <c r="AA108" s="38">
        <f t="shared" si="181"/>
        <v>2.0140373349892826E-2</v>
      </c>
      <c r="AB108" s="38">
        <f t="shared" si="181"/>
        <v>2.2745352302420141E-2</v>
      </c>
    </row>
    <row r="109" spans="2:28">
      <c r="B109" s="21" t="s">
        <v>83</v>
      </c>
      <c r="C109" s="21"/>
      <c r="D109" s="21"/>
      <c r="E109" s="21"/>
      <c r="F109" s="21"/>
      <c r="G109" s="21"/>
      <c r="H109" s="21"/>
      <c r="I109" s="30"/>
      <c r="J109" s="30"/>
      <c r="K109" s="21"/>
      <c r="L109" s="29">
        <f t="shared" ref="L109:R109" si="182">L116-L107</f>
        <v>60013.300000000047</v>
      </c>
      <c r="M109" s="29">
        <f t="shared" si="182"/>
        <v>62527.300000000047</v>
      </c>
      <c r="N109" s="29">
        <f t="shared" si="182"/>
        <v>101452.85000000009</v>
      </c>
      <c r="O109" s="29">
        <f t="shared" si="182"/>
        <v>145715.89999999991</v>
      </c>
      <c r="P109" s="29">
        <f t="shared" si="182"/>
        <v>112849.27500000002</v>
      </c>
      <c r="Q109" s="29">
        <f t="shared" si="182"/>
        <v>115253.38000000012</v>
      </c>
      <c r="R109" s="29">
        <f t="shared" si="182"/>
        <v>97714.888999999966</v>
      </c>
      <c r="S109" s="29">
        <f t="shared" ref="S109:T109" si="183">S116-S107</f>
        <v>-24363.995499999961</v>
      </c>
      <c r="T109" s="29">
        <f t="shared" si="183"/>
        <v>-17475.154499999946</v>
      </c>
      <c r="U109" s="49">
        <f t="shared" ref="U109:AB109" si="184">T109*1.01</f>
        <v>-17649.906044999945</v>
      </c>
      <c r="V109" s="49">
        <f t="shared" si="184"/>
        <v>-17826.405105449943</v>
      </c>
      <c r="W109" s="49">
        <f t="shared" si="184"/>
        <v>-18004.669156504442</v>
      </c>
      <c r="X109" s="49">
        <f t="shared" si="184"/>
        <v>-18184.715848069485</v>
      </c>
      <c r="Y109" s="49">
        <f t="shared" si="184"/>
        <v>-18366.563006550179</v>
      </c>
      <c r="Z109" s="49">
        <f t="shared" si="184"/>
        <v>-18550.22863661568</v>
      </c>
      <c r="AA109" s="49">
        <f t="shared" si="184"/>
        <v>-18735.730922981838</v>
      </c>
      <c r="AB109" s="49">
        <f t="shared" si="184"/>
        <v>-18923.088232211656</v>
      </c>
    </row>
    <row r="110" spans="2:28">
      <c r="B110" s="21" t="s">
        <v>63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38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</row>
    <row r="111" spans="2:28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38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2:28" outlineLevel="1">
      <c r="B112" s="20" t="s">
        <v>144</v>
      </c>
      <c r="C112" s="50"/>
      <c r="D112" s="50"/>
      <c r="E112" s="50"/>
      <c r="F112" s="50"/>
      <c r="G112" s="50"/>
      <c r="H112" s="50"/>
      <c r="I112" s="51"/>
      <c r="J112" s="51"/>
      <c r="K112" s="51">
        <f>SUM(Interims!K81:N81)</f>
        <v>743456.52935595764</v>
      </c>
      <c r="L112" s="51">
        <f>SUM(Interims!O81:R81)</f>
        <v>854922</v>
      </c>
      <c r="M112" s="51">
        <f>SUM(Interims!S81:V81)</f>
        <v>988836</v>
      </c>
      <c r="N112" s="50">
        <f>N107+N109</f>
        <v>1142690</v>
      </c>
      <c r="O112" s="50">
        <f t="shared" ref="O112:T112" si="185">O107+O109</f>
        <v>1271726</v>
      </c>
      <c r="P112" s="50">
        <f t="shared" si="185"/>
        <v>1150533</v>
      </c>
      <c r="Q112" s="50">
        <f t="shared" si="185"/>
        <v>1150219</v>
      </c>
      <c r="R112" s="50">
        <f t="shared" si="185"/>
        <v>1082156</v>
      </c>
      <c r="S112" s="50">
        <f t="shared" si="185"/>
        <v>1050383</v>
      </c>
      <c r="T112" s="50">
        <f t="shared" si="185"/>
        <v>1001679</v>
      </c>
      <c r="U112" s="50">
        <f t="shared" ref="U112:AA112" si="186">U107+U109</f>
        <v>968403.96862855472</v>
      </c>
      <c r="V112" s="50">
        <f t="shared" si="186"/>
        <v>968500.22316318192</v>
      </c>
      <c r="W112" s="50">
        <f t="shared" si="186"/>
        <v>972540.12042783445</v>
      </c>
      <c r="X112" s="50">
        <f t="shared" si="186"/>
        <v>981378.41127974924</v>
      </c>
      <c r="Y112" s="50">
        <f t="shared" si="186"/>
        <v>994538.85503036913</v>
      </c>
      <c r="Z112" s="50">
        <f t="shared" si="186"/>
        <v>1011593.6503816172</v>
      </c>
      <c r="AA112" s="50">
        <f t="shared" si="186"/>
        <v>1032155.6304227852</v>
      </c>
      <c r="AB112" s="50">
        <f t="shared" ref="AB112" si="187">AB107+AB109</f>
        <v>1055871.1673589346</v>
      </c>
    </row>
    <row r="113" spans="2:28" outlineLevel="1">
      <c r="B113" s="21" t="s">
        <v>63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>
        <f t="shared" ref="L113:AB113" si="188">L112/K112-1</f>
        <v>0.14992869958463184</v>
      </c>
      <c r="M113" s="24">
        <f t="shared" si="188"/>
        <v>0.15663885126362409</v>
      </c>
      <c r="N113" s="24">
        <f>N112/M112-1</f>
        <v>0.15559101812636267</v>
      </c>
      <c r="O113" s="24">
        <f t="shared" si="188"/>
        <v>0.11292301499094237</v>
      </c>
      <c r="P113" s="24">
        <f t="shared" si="188"/>
        <v>-9.5298043760998818E-2</v>
      </c>
      <c r="Q113" s="24">
        <f t="shared" si="188"/>
        <v>-2.7291698717024637E-4</v>
      </c>
      <c r="R113" s="24">
        <f t="shared" si="188"/>
        <v>-5.9173948613264082E-2</v>
      </c>
      <c r="S113" s="24">
        <f t="shared" si="188"/>
        <v>-2.9360831525214515E-2</v>
      </c>
      <c r="T113" s="24">
        <f t="shared" si="188"/>
        <v>-4.6367848679957691E-2</v>
      </c>
      <c r="U113" s="24">
        <f t="shared" si="188"/>
        <v>-3.3219256240217931E-2</v>
      </c>
      <c r="V113" s="24">
        <f t="shared" si="188"/>
        <v>9.9395022888471019E-5</v>
      </c>
      <c r="W113" s="24">
        <f t="shared" si="188"/>
        <v>4.1712920328071945E-3</v>
      </c>
      <c r="X113" s="24">
        <f t="shared" si="188"/>
        <v>9.0878418959483565E-3</v>
      </c>
      <c r="Y113" s="24">
        <f t="shared" si="188"/>
        <v>1.341016227721803E-2</v>
      </c>
      <c r="Z113" s="24">
        <f t="shared" si="188"/>
        <v>1.7148445498117226E-2</v>
      </c>
      <c r="AA113" s="24">
        <f t="shared" si="188"/>
        <v>2.0326323750066155E-2</v>
      </c>
      <c r="AB113" s="24">
        <f t="shared" si="188"/>
        <v>2.2976706455048124E-2</v>
      </c>
    </row>
    <row r="114" spans="2:28" outlineLevel="1">
      <c r="B114" s="21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2:28" outlineLevel="1">
      <c r="B115" s="21" t="s">
        <v>17</v>
      </c>
      <c r="C115" s="24"/>
      <c r="D115" s="24"/>
      <c r="E115" s="24"/>
      <c r="F115" s="24"/>
      <c r="G115" s="24"/>
      <c r="H115" s="24"/>
      <c r="I115" s="24"/>
      <c r="J115" s="24"/>
      <c r="K115" s="29">
        <f>K116-K112</f>
        <v>-2681.5293559576385</v>
      </c>
      <c r="L115" s="29">
        <f>L112-L116</f>
        <v>14867</v>
      </c>
      <c r="M115" s="29">
        <f>M112-M116</f>
        <v>22127</v>
      </c>
      <c r="N115" s="49">
        <f t="shared" ref="N115:AB115" si="189">M115/M112*N112</f>
        <v>25569.762458082027</v>
      </c>
      <c r="O115" s="49">
        <f t="shared" si="189"/>
        <v>28457.177127450861</v>
      </c>
      <c r="P115" s="49">
        <f t="shared" si="189"/>
        <v>25745.263816244555</v>
      </c>
      <c r="Q115" s="49">
        <f t="shared" si="189"/>
        <v>25738.237496409918</v>
      </c>
      <c r="R115" s="49">
        <f t="shared" si="189"/>
        <v>24215.204353401372</v>
      </c>
      <c r="S115" s="49">
        <f t="shared" si="189"/>
        <v>23504.225818032515</v>
      </c>
      <c r="T115" s="49">
        <f t="shared" si="189"/>
        <v>22414.385431962426</v>
      </c>
      <c r="U115" s="49">
        <f t="shared" si="189"/>
        <v>21669.796218831059</v>
      </c>
      <c r="V115" s="49">
        <f t="shared" si="189"/>
        <v>21671.95008872222</v>
      </c>
      <c r="W115" s="49">
        <f t="shared" si="189"/>
        <v>21762.350121462703</v>
      </c>
      <c r="X115" s="49">
        <f t="shared" si="189"/>
        <v>21960.122918650828</v>
      </c>
      <c r="Y115" s="49">
        <f t="shared" si="189"/>
        <v>22254.611730617591</v>
      </c>
      <c r="Z115" s="49">
        <f t="shared" si="189"/>
        <v>22636.243726961846</v>
      </c>
      <c r="AA115" s="49">
        <f t="shared" si="189"/>
        <v>23096.355345441476</v>
      </c>
      <c r="AB115" s="49">
        <f t="shared" si="189"/>
        <v>23627.033522395166</v>
      </c>
    </row>
    <row r="116" spans="2:28">
      <c r="B116" s="20" t="s">
        <v>160</v>
      </c>
      <c r="C116" s="52"/>
      <c r="D116" s="52"/>
      <c r="E116" s="52"/>
      <c r="F116" s="52"/>
      <c r="G116" s="169">
        <v>470779</v>
      </c>
      <c r="H116" s="169">
        <v>566437</v>
      </c>
      <c r="I116" s="169">
        <v>757552</v>
      </c>
      <c r="J116" s="169">
        <v>825032</v>
      </c>
      <c r="K116" s="51">
        <f>SUM(Interims!K85:N85)</f>
        <v>740775</v>
      </c>
      <c r="L116" s="51">
        <f>SUM(Interims!O85:R85)</f>
        <v>840055</v>
      </c>
      <c r="M116" s="51">
        <f>SUM(Interims!S85:V85)</f>
        <v>966709</v>
      </c>
      <c r="N116" s="51">
        <f>Interims!W123+Interims!X123+Interims!Y123+Interims!Z123+Interims!Z131</f>
        <v>1142690</v>
      </c>
      <c r="O116" s="78">
        <f>Interims!AA132+Interims!AB132+Interims!AC132+Interims!AD132</f>
        <v>1271726</v>
      </c>
      <c r="P116" s="78">
        <f>Interims!AE132+Interims!AF132+Interims!AG132+Interims!AH132</f>
        <v>1150533</v>
      </c>
      <c r="Q116" s="78">
        <f>SUM(Interims!AI132:AL132)</f>
        <v>1150219</v>
      </c>
      <c r="R116" s="78">
        <f>SUM(Interims!AM132:AP132)</f>
        <v>1082156</v>
      </c>
      <c r="S116" s="78">
        <f>SUM(Interims!AQ132:AT132)</f>
        <v>1050383</v>
      </c>
      <c r="T116" s="78">
        <f>SUM(Interims!AU132:AX132)</f>
        <v>1001679</v>
      </c>
      <c r="U116" s="50">
        <f t="shared" ref="U116:AA116" si="190">U107+U109</f>
        <v>968403.96862855472</v>
      </c>
      <c r="V116" s="50">
        <f t="shared" si="190"/>
        <v>968500.22316318192</v>
      </c>
      <c r="W116" s="50">
        <f t="shared" si="190"/>
        <v>972540.12042783445</v>
      </c>
      <c r="X116" s="50">
        <f t="shared" si="190"/>
        <v>981378.41127974924</v>
      </c>
      <c r="Y116" s="50">
        <f t="shared" si="190"/>
        <v>994538.85503036913</v>
      </c>
      <c r="Z116" s="50">
        <f t="shared" si="190"/>
        <v>1011593.6503816172</v>
      </c>
      <c r="AA116" s="50">
        <f t="shared" si="190"/>
        <v>1032155.6304227852</v>
      </c>
      <c r="AB116" s="50">
        <f t="shared" ref="AB116" si="191">AB107+AB109</f>
        <v>1055871.1673589346</v>
      </c>
    </row>
    <row r="117" spans="2:28">
      <c r="B117" s="21" t="s">
        <v>63</v>
      </c>
      <c r="C117" s="24"/>
      <c r="D117" s="24"/>
      <c r="E117" s="24"/>
      <c r="F117" s="24"/>
      <c r="G117" s="24"/>
      <c r="H117" s="24"/>
      <c r="I117" s="24"/>
      <c r="J117" s="24"/>
      <c r="K117" s="24"/>
      <c r="L117" s="24">
        <f t="shared" ref="L117:AB117" si="192">L116/K116-1</f>
        <v>0.13402180149168097</v>
      </c>
      <c r="M117" s="24">
        <f t="shared" si="192"/>
        <v>0.15076869966847406</v>
      </c>
      <c r="N117" s="24">
        <f t="shared" si="192"/>
        <v>0.18204133818967239</v>
      </c>
      <c r="O117" s="24">
        <f t="shared" si="192"/>
        <v>0.11292301499094237</v>
      </c>
      <c r="P117" s="24">
        <f t="shared" si="192"/>
        <v>-9.5298043760998818E-2</v>
      </c>
      <c r="Q117" s="24">
        <f t="shared" si="192"/>
        <v>-2.7291698717024637E-4</v>
      </c>
      <c r="R117" s="24">
        <f t="shared" si="192"/>
        <v>-5.9173948613264082E-2</v>
      </c>
      <c r="S117" s="24">
        <f t="shared" si="192"/>
        <v>-2.9360831525214515E-2</v>
      </c>
      <c r="T117" s="24">
        <f t="shared" si="192"/>
        <v>-4.6367848679957691E-2</v>
      </c>
      <c r="U117" s="24">
        <f t="shared" si="192"/>
        <v>-3.3219256240217931E-2</v>
      </c>
      <c r="V117" s="24">
        <f t="shared" si="192"/>
        <v>9.9395022888471019E-5</v>
      </c>
      <c r="W117" s="24">
        <f t="shared" si="192"/>
        <v>4.1712920328071945E-3</v>
      </c>
      <c r="X117" s="24">
        <f t="shared" si="192"/>
        <v>9.0878418959483565E-3</v>
      </c>
      <c r="Y117" s="24">
        <f t="shared" si="192"/>
        <v>1.341016227721803E-2</v>
      </c>
      <c r="Z117" s="24">
        <f t="shared" si="192"/>
        <v>1.7148445498117226E-2</v>
      </c>
      <c r="AA117" s="24">
        <f t="shared" si="192"/>
        <v>2.0326323750066155E-2</v>
      </c>
      <c r="AB117" s="24">
        <f t="shared" si="192"/>
        <v>2.2976706455048124E-2</v>
      </c>
    </row>
    <row r="118" spans="2:28">
      <c r="B118" s="21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2:28">
      <c r="B119" s="20" t="s">
        <v>34</v>
      </c>
      <c r="C119" s="53"/>
      <c r="D119" s="53"/>
      <c r="E119" s="53"/>
      <c r="F119" s="53"/>
      <c r="G119" s="169">
        <v>185111</v>
      </c>
      <c r="H119" s="169">
        <v>245020</v>
      </c>
      <c r="I119" s="169">
        <v>321436</v>
      </c>
      <c r="J119" s="51">
        <v>320715</v>
      </c>
      <c r="K119" s="51">
        <f>SUM(Interims!K88:N88)</f>
        <v>304061</v>
      </c>
      <c r="L119" s="51">
        <f>SUM(Interims!O88:R88)</f>
        <v>334261</v>
      </c>
      <c r="M119" s="51">
        <f ca="1">SUM(Interims!S88:V88)</f>
        <v>396348</v>
      </c>
      <c r="N119" s="51">
        <f>Interims!W140+Interims!X140+Interims!Y140+Interims!Z149</f>
        <v>420774</v>
      </c>
      <c r="O119" s="78">
        <f>Interims!AA149+Interims!AB149+Interims!AC149+Interims!AD149</f>
        <v>348218</v>
      </c>
      <c r="P119" s="78">
        <f>Interims!AE149+Interims!AF149+Interims!AG149+Interims!AH149</f>
        <v>406847</v>
      </c>
      <c r="Q119" s="78">
        <f>SUM(Interims!AI149:AL149)</f>
        <v>457197</v>
      </c>
      <c r="R119" s="78">
        <f>SUM(Interims!AM149:AP149)</f>
        <v>439898</v>
      </c>
      <c r="S119" s="78">
        <f>SUM(Interims!AQ149:AT149)</f>
        <v>414818</v>
      </c>
      <c r="T119" s="78">
        <f>SUM(Interims!AU149:AX149)</f>
        <v>370706</v>
      </c>
      <c r="U119" s="50">
        <f t="shared" ref="U119:AA119" si="193">U120*U116</f>
        <v>392203.60729456466</v>
      </c>
      <c r="V119" s="50">
        <f t="shared" si="193"/>
        <v>392242.59038108872</v>
      </c>
      <c r="W119" s="50">
        <f t="shared" si="193"/>
        <v>393878.74877327296</v>
      </c>
      <c r="X119" s="50">
        <f t="shared" si="193"/>
        <v>397458.25656829844</v>
      </c>
      <c r="Y119" s="50">
        <f t="shared" si="193"/>
        <v>402788.23628729954</v>
      </c>
      <c r="Z119" s="50">
        <f t="shared" si="193"/>
        <v>409695.42840455502</v>
      </c>
      <c r="AA119" s="50">
        <f t="shared" si="193"/>
        <v>418023.03032122803</v>
      </c>
      <c r="AB119" s="50">
        <f t="shared" ref="AB119" si="194">AB120*AB116</f>
        <v>427627.82278036856</v>
      </c>
    </row>
    <row r="120" spans="2:28">
      <c r="B120" s="21" t="s">
        <v>84</v>
      </c>
      <c r="C120" s="24"/>
      <c r="D120" s="24"/>
      <c r="E120" s="24"/>
      <c r="F120" s="24"/>
      <c r="G120" s="24"/>
      <c r="H120" s="24"/>
      <c r="I120" s="24"/>
      <c r="J120" s="24"/>
      <c r="K120" s="24">
        <f>K119/K112</f>
        <v>0.40898289004658056</v>
      </c>
      <c r="L120" s="24">
        <f>L119/L112</f>
        <v>0.39098420674634643</v>
      </c>
      <c r="M120" s="24">
        <f ca="1">M119/M112</f>
        <v>0.40082278557819495</v>
      </c>
      <c r="N120" s="24">
        <f t="shared" ref="N120:T120" si="195">N119/N116</f>
        <v>0.36823110379893059</v>
      </c>
      <c r="O120" s="24">
        <f t="shared" si="195"/>
        <v>0.27381527152861546</v>
      </c>
      <c r="P120" s="24">
        <f t="shared" si="195"/>
        <v>0.35361610662188742</v>
      </c>
      <c r="Q120" s="24">
        <f t="shared" si="195"/>
        <v>0.39748691336171632</v>
      </c>
      <c r="R120" s="24">
        <f t="shared" si="195"/>
        <v>0.40650146559276112</v>
      </c>
      <c r="S120" s="24">
        <f t="shared" si="195"/>
        <v>0.3949207098743982</v>
      </c>
      <c r="T120" s="24">
        <f t="shared" si="195"/>
        <v>0.37008462790973956</v>
      </c>
      <c r="U120" s="25">
        <v>0.40500000000000003</v>
      </c>
      <c r="V120" s="25">
        <v>0.40500000000000003</v>
      </c>
      <c r="W120" s="25">
        <v>0.40500000000000003</v>
      </c>
      <c r="X120" s="25">
        <v>0.40500000000000003</v>
      </c>
      <c r="Y120" s="25">
        <v>0.40500000000000003</v>
      </c>
      <c r="Z120" s="25">
        <v>0.40500000000000003</v>
      </c>
      <c r="AA120" s="25">
        <v>0.40500000000000003</v>
      </c>
      <c r="AB120" s="25">
        <v>0.40500000000000003</v>
      </c>
    </row>
    <row r="121" spans="2:28">
      <c r="B121" s="21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2:28">
      <c r="B122" s="21" t="s">
        <v>178</v>
      </c>
      <c r="C122" s="24"/>
      <c r="D122" s="24"/>
      <c r="E122" s="24"/>
      <c r="F122" s="24"/>
      <c r="G122" s="48">
        <f t="shared" ref="G122:N122" si="196">0.69*G255-G124</f>
        <v>48307.56</v>
      </c>
      <c r="H122" s="48">
        <f t="shared" si="196"/>
        <v>72662.099999999991</v>
      </c>
      <c r="I122" s="48">
        <f t="shared" si="196"/>
        <v>86901.62</v>
      </c>
      <c r="J122" s="48">
        <f t="shared" si="196"/>
        <v>111202.87999999998</v>
      </c>
      <c r="K122" s="48">
        <f t="shared" si="196"/>
        <v>107097.62999999998</v>
      </c>
      <c r="L122" s="48">
        <f t="shared" si="196"/>
        <v>110246.28999999998</v>
      </c>
      <c r="M122" s="48">
        <f t="shared" si="196"/>
        <v>134987.93999999997</v>
      </c>
      <c r="N122" s="48">
        <f t="shared" si="196"/>
        <v>135159.25</v>
      </c>
      <c r="O122" s="155">
        <f>0.55*O255-O124</f>
        <v>201369.03625000003</v>
      </c>
      <c r="P122" s="155">
        <f>0.47*P255-P124</f>
        <v>241542.39999999999</v>
      </c>
      <c r="Q122" s="155">
        <f>0.4*Q255-Q124</f>
        <v>173305.2</v>
      </c>
      <c r="R122" s="155">
        <f>0.4*R255-R124</f>
        <v>144199.6</v>
      </c>
      <c r="S122" s="155">
        <f>0.4*S255-S124</f>
        <v>154804.4</v>
      </c>
      <c r="T122" s="155">
        <f>0.4*T255-T124</f>
        <v>172808.40000000002</v>
      </c>
      <c r="U122" s="48">
        <f t="shared" ref="U122:AA122" si="197">U123*U112</f>
        <v>159786.65482371155</v>
      </c>
      <c r="V122" s="48">
        <f t="shared" si="197"/>
        <v>159802.53682192502</v>
      </c>
      <c r="W122" s="48">
        <f t="shared" si="197"/>
        <v>158037.76956952311</v>
      </c>
      <c r="X122" s="48">
        <f t="shared" si="197"/>
        <v>157020.54580475989</v>
      </c>
      <c r="Y122" s="48">
        <f t="shared" si="197"/>
        <v>139235.43970425168</v>
      </c>
      <c r="Z122" s="48">
        <f t="shared" si="197"/>
        <v>141623.11105342643</v>
      </c>
      <c r="AA122" s="48">
        <f t="shared" si="197"/>
        <v>144501.78825918993</v>
      </c>
      <c r="AB122" s="48">
        <f t="shared" ref="AB122" si="198">AB123*AB112</f>
        <v>147821.96343025088</v>
      </c>
    </row>
    <row r="123" spans="2:28">
      <c r="B123" s="21" t="s">
        <v>85</v>
      </c>
      <c r="C123" s="24"/>
      <c r="D123" s="24"/>
      <c r="E123" s="24"/>
      <c r="F123" s="24"/>
      <c r="G123" s="24">
        <f>G252</f>
        <v>9.1731797285317523E-2</v>
      </c>
      <c r="H123" s="24">
        <f>H252</f>
        <v>0.13337393892159161</v>
      </c>
      <c r="I123" s="24">
        <f>I252</f>
        <v>0.15816609408396773</v>
      </c>
      <c r="J123" s="24">
        <f>J252</f>
        <v>0.17987916325333164</v>
      </c>
      <c r="K123" s="24">
        <f t="shared" ref="K123:T123" si="199">K122/K112</f>
        <v>0.14405365447900045</v>
      </c>
      <c r="L123" s="24">
        <f t="shared" si="199"/>
        <v>0.12895479353672029</v>
      </c>
      <c r="M123" s="24">
        <f t="shared" si="199"/>
        <v>0.13651195951603701</v>
      </c>
      <c r="N123" s="24">
        <f t="shared" si="199"/>
        <v>0.11828164244020688</v>
      </c>
      <c r="O123" s="24">
        <f t="shared" si="199"/>
        <v>0.15834309926037529</v>
      </c>
      <c r="P123" s="24">
        <f t="shared" si="199"/>
        <v>0.20993956713975173</v>
      </c>
      <c r="Q123" s="24">
        <f t="shared" si="199"/>
        <v>0.15067148082234774</v>
      </c>
      <c r="R123" s="24">
        <f t="shared" si="199"/>
        <v>0.13325213739978339</v>
      </c>
      <c r="S123" s="24">
        <f t="shared" si="199"/>
        <v>0.14737900365866546</v>
      </c>
      <c r="T123" s="24">
        <f t="shared" si="199"/>
        <v>0.17251874103380427</v>
      </c>
      <c r="U123" s="172">
        <v>0.16500000000000001</v>
      </c>
      <c r="V123" s="172">
        <v>0.16500000000000001</v>
      </c>
      <c r="W123" s="172">
        <v>0.16250000000000001</v>
      </c>
      <c r="X123" s="172">
        <v>0.16</v>
      </c>
      <c r="Y123" s="172">
        <v>0.14000000000000001</v>
      </c>
      <c r="Z123" s="172">
        <v>0.14000000000000001</v>
      </c>
      <c r="AA123" s="172">
        <v>0.14000000000000001</v>
      </c>
      <c r="AB123" s="172">
        <v>0.14000000000000001</v>
      </c>
    </row>
    <row r="124" spans="2:28">
      <c r="B124" s="21" t="s">
        <v>420</v>
      </c>
      <c r="C124" s="24"/>
      <c r="D124" s="24"/>
      <c r="E124" s="24"/>
      <c r="F124" s="24"/>
      <c r="G124" s="48">
        <f>G254</f>
        <v>31054.86</v>
      </c>
      <c r="H124" s="48">
        <f>H254</f>
        <v>46711.350000000006</v>
      </c>
      <c r="I124" s="48">
        <f>I254</f>
        <v>65725</v>
      </c>
      <c r="J124" s="48">
        <f>J254</f>
        <v>68440</v>
      </c>
      <c r="K124" s="48">
        <f>K254</f>
        <v>73011</v>
      </c>
      <c r="L124" s="48">
        <f t="shared" ref="L124:T124" si="200">L254</f>
        <v>90365</v>
      </c>
      <c r="M124" s="48">
        <f t="shared" si="200"/>
        <v>112326</v>
      </c>
      <c r="N124" s="48">
        <f t="shared" si="200"/>
        <v>127679</v>
      </c>
      <c r="O124" s="48">
        <f t="shared" si="200"/>
        <v>0</v>
      </c>
      <c r="P124" s="48">
        <f>P254</f>
        <v>0</v>
      </c>
      <c r="Q124" s="48">
        <f t="shared" si="200"/>
        <v>0</v>
      </c>
      <c r="R124" s="48">
        <f t="shared" si="200"/>
        <v>0</v>
      </c>
      <c r="S124" s="48">
        <f t="shared" si="200"/>
        <v>0</v>
      </c>
      <c r="T124" s="48">
        <f t="shared" si="200"/>
        <v>0</v>
      </c>
      <c r="U124" s="48">
        <f t="shared" ref="U124:AA124" si="201">U254</f>
        <v>0</v>
      </c>
      <c r="V124" s="48">
        <f t="shared" si="201"/>
        <v>0</v>
      </c>
      <c r="W124" s="48">
        <f t="shared" si="201"/>
        <v>0</v>
      </c>
      <c r="X124" s="48">
        <f t="shared" si="201"/>
        <v>0</v>
      </c>
      <c r="Y124" s="48">
        <f t="shared" si="201"/>
        <v>0</v>
      </c>
      <c r="Z124" s="48">
        <f t="shared" si="201"/>
        <v>0</v>
      </c>
      <c r="AA124" s="48">
        <f t="shared" si="201"/>
        <v>0</v>
      </c>
      <c r="AB124" s="48">
        <f t="shared" ref="AB124" si="202">AB254</f>
        <v>0</v>
      </c>
    </row>
    <row r="125" spans="2:28">
      <c r="B125" s="21"/>
      <c r="C125" s="24"/>
      <c r="D125" s="24"/>
      <c r="E125" s="24"/>
      <c r="F125" s="24"/>
      <c r="G125" s="24"/>
      <c r="H125" s="24"/>
      <c r="I125" s="24"/>
      <c r="J125" s="24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</row>
    <row r="126" spans="2:28">
      <c r="B126" s="20" t="s">
        <v>421</v>
      </c>
      <c r="C126" s="53"/>
      <c r="D126" s="53"/>
      <c r="E126" s="53"/>
      <c r="F126" s="53"/>
      <c r="G126" s="50">
        <f>G122+G124</f>
        <v>79362.42</v>
      </c>
      <c r="H126" s="50">
        <f>H122+H124</f>
        <v>119373.45</v>
      </c>
      <c r="I126" s="50">
        <f>I122+I124</f>
        <v>152626.62</v>
      </c>
      <c r="J126" s="50">
        <f>J122+J124</f>
        <v>179642.87999999998</v>
      </c>
      <c r="K126" s="50">
        <f>K122+K124</f>
        <v>180108.62999999998</v>
      </c>
      <c r="L126" s="50">
        <f t="shared" ref="L126:T126" si="203">L122+L124</f>
        <v>200611.28999999998</v>
      </c>
      <c r="M126" s="50">
        <f t="shared" si="203"/>
        <v>247313.93999999997</v>
      </c>
      <c r="N126" s="50">
        <f t="shared" si="203"/>
        <v>262838.25</v>
      </c>
      <c r="O126" s="50">
        <f t="shared" si="203"/>
        <v>201369.03625000003</v>
      </c>
      <c r="P126" s="50">
        <f t="shared" si="203"/>
        <v>241542.39999999999</v>
      </c>
      <c r="Q126" s="50">
        <f t="shared" si="203"/>
        <v>173305.2</v>
      </c>
      <c r="R126" s="50">
        <f t="shared" si="203"/>
        <v>144199.6</v>
      </c>
      <c r="S126" s="50">
        <f t="shared" si="203"/>
        <v>154804.4</v>
      </c>
      <c r="T126" s="50">
        <f t="shared" si="203"/>
        <v>172808.40000000002</v>
      </c>
      <c r="U126" s="50">
        <f t="shared" ref="U126:AA126" si="204">U122+U124</f>
        <v>159786.65482371155</v>
      </c>
      <c r="V126" s="50">
        <f t="shared" si="204"/>
        <v>159802.53682192502</v>
      </c>
      <c r="W126" s="50">
        <f t="shared" si="204"/>
        <v>158037.76956952311</v>
      </c>
      <c r="X126" s="50">
        <f t="shared" si="204"/>
        <v>157020.54580475989</v>
      </c>
      <c r="Y126" s="50">
        <f t="shared" si="204"/>
        <v>139235.43970425168</v>
      </c>
      <c r="Z126" s="50">
        <f t="shared" si="204"/>
        <v>141623.11105342643</v>
      </c>
      <c r="AA126" s="50">
        <f t="shared" si="204"/>
        <v>144501.78825918993</v>
      </c>
      <c r="AB126" s="50">
        <f t="shared" ref="AB126" si="205">AB122+AB124</f>
        <v>147821.96343025088</v>
      </c>
    </row>
    <row r="127" spans="2:28">
      <c r="B127" s="35"/>
      <c r="C127" s="54"/>
      <c r="D127" s="54"/>
      <c r="E127" s="54"/>
      <c r="F127" s="54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</row>
    <row r="128" spans="2:28">
      <c r="B128" s="35" t="s">
        <v>422</v>
      </c>
      <c r="C128" s="54"/>
      <c r="D128" s="54"/>
      <c r="E128" s="54"/>
      <c r="F128" s="54"/>
      <c r="G128" s="36">
        <f>G119-G126</f>
        <v>105748.58</v>
      </c>
      <c r="H128" s="36">
        <f>H119-H126</f>
        <v>125646.55</v>
      </c>
      <c r="I128" s="36">
        <f>I119-I126</f>
        <v>168809.38</v>
      </c>
      <c r="J128" s="36">
        <f>J119-J126</f>
        <v>141072.12000000002</v>
      </c>
      <c r="K128" s="36">
        <f>K119-K126</f>
        <v>123952.37000000002</v>
      </c>
      <c r="L128" s="36">
        <f t="shared" ref="L128:T128" si="206">L119-L126</f>
        <v>133649.71000000002</v>
      </c>
      <c r="M128" s="36">
        <f t="shared" ca="1" si="206"/>
        <v>149034.06000000003</v>
      </c>
      <c r="N128" s="36">
        <f t="shared" si="206"/>
        <v>157935.75</v>
      </c>
      <c r="O128" s="36">
        <f t="shared" si="206"/>
        <v>146848.96374999997</v>
      </c>
      <c r="P128" s="36">
        <f t="shared" si="206"/>
        <v>165304.6</v>
      </c>
      <c r="Q128" s="36">
        <f t="shared" si="206"/>
        <v>283891.8</v>
      </c>
      <c r="R128" s="36">
        <f t="shared" si="206"/>
        <v>295698.40000000002</v>
      </c>
      <c r="S128" s="36">
        <f t="shared" si="206"/>
        <v>260013.6</v>
      </c>
      <c r="T128" s="36">
        <f t="shared" si="206"/>
        <v>197897.59999999998</v>
      </c>
      <c r="U128" s="36">
        <f t="shared" ref="U128:AA128" si="207">U119-U126</f>
        <v>232416.95247085311</v>
      </c>
      <c r="V128" s="36">
        <f t="shared" si="207"/>
        <v>232440.0535591637</v>
      </c>
      <c r="W128" s="36">
        <f t="shared" si="207"/>
        <v>235840.97920374986</v>
      </c>
      <c r="X128" s="36">
        <f t="shared" si="207"/>
        <v>240437.71076353855</v>
      </c>
      <c r="Y128" s="36">
        <f t="shared" si="207"/>
        <v>263552.79658304784</v>
      </c>
      <c r="Z128" s="36">
        <f t="shared" si="207"/>
        <v>268072.31735112856</v>
      </c>
      <c r="AA128" s="36">
        <f t="shared" si="207"/>
        <v>273521.2420620381</v>
      </c>
      <c r="AB128" s="36">
        <f t="shared" ref="AB128" si="208">AB119-AB126</f>
        <v>279805.85935011768</v>
      </c>
    </row>
    <row r="129" spans="2:28">
      <c r="B129" s="35" t="s">
        <v>85</v>
      </c>
      <c r="C129" s="54"/>
      <c r="D129" s="54"/>
      <c r="E129" s="54"/>
      <c r="F129" s="54"/>
      <c r="G129" s="168">
        <f>G128/G116</f>
        <v>0.22462467527226151</v>
      </c>
      <c r="H129" s="168">
        <f>H128/H116</f>
        <v>0.22181910786195111</v>
      </c>
      <c r="I129" s="168">
        <f>I128/I116</f>
        <v>0.22283536971719434</v>
      </c>
      <c r="J129" s="168">
        <f>J128/J116</f>
        <v>0.17098987675629554</v>
      </c>
      <c r="K129" s="168">
        <f>K128/K116</f>
        <v>0.16732796058182312</v>
      </c>
      <c r="L129" s="168">
        <f t="shared" ref="L129:T129" si="209">L128/L116</f>
        <v>0.15909638059412778</v>
      </c>
      <c r="M129" s="168">
        <f t="shared" ca="1" si="209"/>
        <v>0.15416641409152085</v>
      </c>
      <c r="N129" s="168">
        <f t="shared" si="209"/>
        <v>0.13821399504677559</v>
      </c>
      <c r="O129" s="168">
        <f t="shared" si="209"/>
        <v>0.11547217226824015</v>
      </c>
      <c r="P129" s="168">
        <f t="shared" si="209"/>
        <v>0.14367653948213568</v>
      </c>
      <c r="Q129" s="168">
        <f t="shared" si="209"/>
        <v>0.24681543253936858</v>
      </c>
      <c r="R129" s="168">
        <f t="shared" si="209"/>
        <v>0.27324932819297776</v>
      </c>
      <c r="S129" s="168">
        <f t="shared" si="209"/>
        <v>0.24754170621573274</v>
      </c>
      <c r="T129" s="168">
        <f t="shared" si="209"/>
        <v>0.19756588687593529</v>
      </c>
      <c r="U129" s="168">
        <f t="shared" ref="U129:AA129" si="210">U128/U116</f>
        <v>0.23999999999999996</v>
      </c>
      <c r="V129" s="168">
        <f t="shared" si="210"/>
        <v>0.24000000000000005</v>
      </c>
      <c r="W129" s="168">
        <f t="shared" si="210"/>
        <v>0.24249999999999999</v>
      </c>
      <c r="X129" s="168">
        <f t="shared" si="210"/>
        <v>0.245</v>
      </c>
      <c r="Y129" s="168">
        <f t="shared" si="210"/>
        <v>0.26500000000000001</v>
      </c>
      <c r="Z129" s="168">
        <f t="shared" si="210"/>
        <v>0.26500000000000001</v>
      </c>
      <c r="AA129" s="168">
        <f t="shared" si="210"/>
        <v>0.26500000000000001</v>
      </c>
      <c r="AB129" s="168">
        <f t="shared" ref="AB129" si="211">AB128/AB116</f>
        <v>0.26500000000000001</v>
      </c>
    </row>
    <row r="130" spans="2:28">
      <c r="B130" s="21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2:28">
      <c r="B131" s="41" t="s">
        <v>782</v>
      </c>
      <c r="C131" s="41">
        <f t="shared" ref="C131:K131" si="212">D131-1</f>
        <v>2001</v>
      </c>
      <c r="D131" s="41">
        <f t="shared" si="212"/>
        <v>2002</v>
      </c>
      <c r="E131" s="41">
        <f t="shared" si="212"/>
        <v>2003</v>
      </c>
      <c r="F131" s="41">
        <f t="shared" si="212"/>
        <v>2004</v>
      </c>
      <c r="G131" s="41">
        <f t="shared" si="212"/>
        <v>2005</v>
      </c>
      <c r="H131" s="41">
        <f t="shared" si="212"/>
        <v>2006</v>
      </c>
      <c r="I131" s="41">
        <f t="shared" si="212"/>
        <v>2007</v>
      </c>
      <c r="J131" s="41">
        <f t="shared" si="212"/>
        <v>2008</v>
      </c>
      <c r="K131" s="41">
        <f t="shared" si="212"/>
        <v>2009</v>
      </c>
      <c r="L131" s="41">
        <v>2010</v>
      </c>
      <c r="M131" s="41">
        <f t="shared" ref="M131:AB131" si="213">L131+1</f>
        <v>2011</v>
      </c>
      <c r="N131" s="41">
        <f t="shared" si="213"/>
        <v>2012</v>
      </c>
      <c r="O131" s="41">
        <f t="shared" si="213"/>
        <v>2013</v>
      </c>
      <c r="P131" s="41">
        <f t="shared" si="213"/>
        <v>2014</v>
      </c>
      <c r="Q131" s="41">
        <f t="shared" si="213"/>
        <v>2015</v>
      </c>
      <c r="R131" s="41">
        <f t="shared" si="213"/>
        <v>2016</v>
      </c>
      <c r="S131" s="41">
        <f t="shared" si="213"/>
        <v>2017</v>
      </c>
      <c r="T131" s="41">
        <f t="shared" si="213"/>
        <v>2018</v>
      </c>
      <c r="U131" s="41">
        <f t="shared" si="213"/>
        <v>2019</v>
      </c>
      <c r="V131" s="41">
        <f t="shared" si="213"/>
        <v>2020</v>
      </c>
      <c r="W131" s="41">
        <f t="shared" si="213"/>
        <v>2021</v>
      </c>
      <c r="X131" s="41">
        <f t="shared" si="213"/>
        <v>2022</v>
      </c>
      <c r="Y131" s="41">
        <f t="shared" si="213"/>
        <v>2023</v>
      </c>
      <c r="Z131" s="41">
        <f t="shared" si="213"/>
        <v>2024</v>
      </c>
      <c r="AA131" s="41">
        <f t="shared" si="213"/>
        <v>2025</v>
      </c>
      <c r="AB131" s="41">
        <f t="shared" si="213"/>
        <v>2026</v>
      </c>
    </row>
    <row r="133" spans="2:28">
      <c r="B133" s="55" t="s">
        <v>168</v>
      </c>
      <c r="C133" s="55"/>
      <c r="D133" s="55"/>
      <c r="E133" s="55"/>
      <c r="F133" s="55"/>
      <c r="G133" s="55"/>
      <c r="H133" s="55"/>
      <c r="I133" s="50"/>
      <c r="J133" s="50"/>
      <c r="K133" s="51">
        <v>20283</v>
      </c>
      <c r="L133" s="51">
        <f>SUM(Interims!O92:R92)</f>
        <v>20171</v>
      </c>
      <c r="M133" s="51">
        <f>SUM(Interims!S92:V92)</f>
        <v>19756</v>
      </c>
      <c r="N133" s="51">
        <f>SUM(Interims!W92:Z92)</f>
        <v>20715</v>
      </c>
      <c r="O133" s="51">
        <f>SUM(Interims!AA92:AD92)</f>
        <v>21997</v>
      </c>
      <c r="P133" s="51">
        <f>SUM(Interims!AE92:AH92)</f>
        <v>28517.675809843749</v>
      </c>
      <c r="Q133" s="51">
        <f>SUM(Interims!AI92:AL92)</f>
        <v>29475</v>
      </c>
      <c r="R133" s="51">
        <f>SUM(Interims!AM92:AP92)</f>
        <v>27032</v>
      </c>
      <c r="S133" s="51">
        <f>SUM(Interims!AQ92:AT92)</f>
        <v>26233</v>
      </c>
      <c r="T133" s="51">
        <f>SUM(Interims!AU92:AX92)</f>
        <v>23018</v>
      </c>
      <c r="U133" s="56">
        <f t="shared" ref="U133:AB133" si="214">(1+U134)*T133</f>
        <v>23708.54</v>
      </c>
      <c r="V133" s="56">
        <f t="shared" si="214"/>
        <v>24419.796200000001</v>
      </c>
      <c r="W133" s="56">
        <f t="shared" si="214"/>
        <v>25152.390086000003</v>
      </c>
      <c r="X133" s="56">
        <f t="shared" si="214"/>
        <v>25906.961788580003</v>
      </c>
      <c r="Y133" s="56">
        <f t="shared" si="214"/>
        <v>26684.170642237405</v>
      </c>
      <c r="Z133" s="56">
        <f t="shared" si="214"/>
        <v>27484.695761504528</v>
      </c>
      <c r="AA133" s="56">
        <f t="shared" si="214"/>
        <v>28309.236634349665</v>
      </c>
      <c r="AB133" s="56">
        <f t="shared" si="214"/>
        <v>29158.513733380154</v>
      </c>
    </row>
    <row r="134" spans="2:28">
      <c r="B134" s="10" t="s">
        <v>63</v>
      </c>
      <c r="C134" s="10"/>
      <c r="D134" s="10"/>
      <c r="E134" s="10"/>
      <c r="F134" s="10"/>
      <c r="G134" s="10"/>
      <c r="H134" s="10"/>
      <c r="I134" s="10"/>
      <c r="J134" s="89"/>
      <c r="K134" s="89"/>
      <c r="L134" s="89">
        <f t="shared" ref="L134:T134" si="215">L133/K133-1</f>
        <v>-5.5218656017353984E-3</v>
      </c>
      <c r="M134" s="89">
        <f t="shared" si="215"/>
        <v>-2.0574091517525206E-2</v>
      </c>
      <c r="N134" s="89">
        <f t="shared" si="215"/>
        <v>4.8542215023284152E-2</v>
      </c>
      <c r="O134" s="89">
        <f t="shared" si="215"/>
        <v>6.1887521119961431E-2</v>
      </c>
      <c r="P134" s="89">
        <f t="shared" si="215"/>
        <v>0.29643477791715922</v>
      </c>
      <c r="Q134" s="89">
        <f t="shared" si="215"/>
        <v>3.3569502526773265E-2</v>
      </c>
      <c r="R134" s="89">
        <f t="shared" si="215"/>
        <v>-8.2883799830364757E-2</v>
      </c>
      <c r="S134" s="89">
        <f t="shared" si="215"/>
        <v>-2.9557561408700805E-2</v>
      </c>
      <c r="T134" s="89">
        <f t="shared" si="215"/>
        <v>-0.12255555979110277</v>
      </c>
      <c r="U134" s="90">
        <v>0.03</v>
      </c>
      <c r="V134" s="90">
        <v>0.03</v>
      </c>
      <c r="W134" s="90">
        <v>0.03</v>
      </c>
      <c r="X134" s="90">
        <v>0.03</v>
      </c>
      <c r="Y134" s="90">
        <v>0.03</v>
      </c>
      <c r="Z134" s="90">
        <v>0.03</v>
      </c>
      <c r="AA134" s="90">
        <v>0.03</v>
      </c>
      <c r="AB134" s="90">
        <v>0.03</v>
      </c>
    </row>
    <row r="135" spans="2:28">
      <c r="B135" s="10"/>
      <c r="C135" s="10"/>
      <c r="D135" s="10"/>
      <c r="E135" s="10"/>
      <c r="F135" s="10"/>
      <c r="G135" s="10"/>
      <c r="H135" s="10"/>
      <c r="I135" s="10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</row>
    <row r="136" spans="2:28">
      <c r="B136" s="10" t="s">
        <v>17</v>
      </c>
      <c r="C136" s="10"/>
      <c r="D136" s="10"/>
      <c r="E136" s="10"/>
      <c r="F136" s="10"/>
      <c r="G136" s="10"/>
      <c r="H136" s="10"/>
      <c r="I136" s="10"/>
      <c r="J136" s="89"/>
      <c r="K136" s="92">
        <f t="shared" ref="K136:T136" si="216">K133-K137</f>
        <v>295</v>
      </c>
      <c r="L136" s="92">
        <f t="shared" si="216"/>
        <v>760</v>
      </c>
      <c r="M136" s="92">
        <f t="shared" si="216"/>
        <v>609</v>
      </c>
      <c r="N136" s="92">
        <f t="shared" si="216"/>
        <v>604</v>
      </c>
      <c r="O136" s="92">
        <f t="shared" si="216"/>
        <v>382</v>
      </c>
      <c r="P136" s="92">
        <f t="shared" si="216"/>
        <v>3067.6758098437494</v>
      </c>
      <c r="Q136" s="92">
        <f t="shared" si="216"/>
        <v>3096</v>
      </c>
      <c r="R136" s="92">
        <f t="shared" si="216"/>
        <v>2981</v>
      </c>
      <c r="S136" s="92">
        <f t="shared" si="216"/>
        <v>2524</v>
      </c>
      <c r="T136" s="92">
        <f t="shared" si="216"/>
        <v>2568</v>
      </c>
      <c r="U136" s="49">
        <f t="shared" ref="U136:AB136" si="217">T136/T133*U133</f>
        <v>2645.04</v>
      </c>
      <c r="V136" s="49">
        <f t="shared" si="217"/>
        <v>2724.3912</v>
      </c>
      <c r="W136" s="49">
        <f t="shared" si="217"/>
        <v>2806.1229360000002</v>
      </c>
      <c r="X136" s="49">
        <f t="shared" si="217"/>
        <v>2890.3066240800003</v>
      </c>
      <c r="Y136" s="49">
        <f t="shared" si="217"/>
        <v>2977.0158228024006</v>
      </c>
      <c r="Z136" s="49">
        <f t="shared" si="217"/>
        <v>3066.3262974864729</v>
      </c>
      <c r="AA136" s="49">
        <f t="shared" si="217"/>
        <v>3158.3160864110673</v>
      </c>
      <c r="AB136" s="49">
        <f t="shared" si="217"/>
        <v>3253.0655690033991</v>
      </c>
    </row>
    <row r="137" spans="2:28">
      <c r="B137" s="91" t="s">
        <v>169</v>
      </c>
      <c r="C137" s="10"/>
      <c r="D137" s="10"/>
      <c r="E137" s="10"/>
      <c r="F137" s="10"/>
      <c r="G137" s="10"/>
      <c r="H137" s="10"/>
      <c r="I137" s="10"/>
      <c r="J137" s="89"/>
      <c r="K137" s="51">
        <v>19988</v>
      </c>
      <c r="L137" s="51">
        <f>SUM(Interims!O93:R93)</f>
        <v>19411</v>
      </c>
      <c r="M137" s="51">
        <f>SUM(Interims!S93:V93)</f>
        <v>19147</v>
      </c>
      <c r="N137" s="51">
        <f>SUM(Interims!W93:Z93)</f>
        <v>20111</v>
      </c>
      <c r="O137" s="51">
        <f>SUM(Interims!AA93:AD93)</f>
        <v>21615</v>
      </c>
      <c r="P137" s="51">
        <f>SUM(Interims!AE93:AH93)</f>
        <v>25450</v>
      </c>
      <c r="Q137" s="51">
        <f>SUM(Interims!AI93:AL93)</f>
        <v>26379</v>
      </c>
      <c r="R137" s="51">
        <f>SUM(Interims!AM93:AP93)</f>
        <v>24051</v>
      </c>
      <c r="S137" s="51">
        <f>SUM(Interims!AQ93:AT93)</f>
        <v>23709</v>
      </c>
      <c r="T137" s="51">
        <f>SUM(Interims!AU93:AX93)</f>
        <v>20450</v>
      </c>
      <c r="U137" s="50">
        <f t="shared" ref="U137:AA137" si="218">U133-U136</f>
        <v>21063.5</v>
      </c>
      <c r="V137" s="50">
        <f t="shared" si="218"/>
        <v>21695.404999999999</v>
      </c>
      <c r="W137" s="50">
        <f t="shared" si="218"/>
        <v>22346.267150000003</v>
      </c>
      <c r="X137" s="50">
        <f t="shared" si="218"/>
        <v>23016.655164500004</v>
      </c>
      <c r="Y137" s="50">
        <f t="shared" si="218"/>
        <v>23707.154819435003</v>
      </c>
      <c r="Z137" s="50">
        <f t="shared" si="218"/>
        <v>24418.369464018055</v>
      </c>
      <c r="AA137" s="50">
        <f t="shared" si="218"/>
        <v>25150.920547938596</v>
      </c>
      <c r="AB137" s="50">
        <f t="shared" ref="AB137" si="219">AB133-AB136</f>
        <v>25905.448164376754</v>
      </c>
    </row>
    <row r="138" spans="2:28">
      <c r="B138" s="10"/>
      <c r="C138" s="10"/>
      <c r="D138" s="10"/>
      <c r="E138" s="10"/>
      <c r="F138" s="10"/>
      <c r="G138" s="10"/>
      <c r="H138" s="10"/>
      <c r="I138" s="10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</row>
    <row r="139" spans="2:28">
      <c r="B139" s="10" t="s">
        <v>138</v>
      </c>
      <c r="C139" s="24"/>
      <c r="D139" s="24"/>
      <c r="E139" s="24"/>
      <c r="F139" s="24"/>
      <c r="G139" s="24"/>
      <c r="H139" s="24"/>
      <c r="I139" s="74">
        <v>3.13</v>
      </c>
      <c r="J139" s="74">
        <v>2.92</v>
      </c>
      <c r="K139" s="74">
        <v>3.01</v>
      </c>
      <c r="L139" s="74">
        <v>2.82</v>
      </c>
      <c r="M139" s="74">
        <v>2.75</v>
      </c>
      <c r="N139" s="74">
        <v>2.64</v>
      </c>
      <c r="O139" s="74">
        <v>2.7</v>
      </c>
      <c r="P139" s="74">
        <v>2.84</v>
      </c>
      <c r="Q139" s="74">
        <v>3.19</v>
      </c>
      <c r="R139" s="74">
        <v>3.37</v>
      </c>
      <c r="S139" s="74">
        <v>3.26</v>
      </c>
      <c r="T139" s="74">
        <v>3.29</v>
      </c>
      <c r="U139" s="74">
        <v>3.34</v>
      </c>
      <c r="V139" s="74">
        <v>3.36</v>
      </c>
      <c r="W139" s="75">
        <f t="shared" ref="W139:AB139" si="220">(1+W140)*V139</f>
        <v>3.4439999999999995</v>
      </c>
      <c r="X139" s="75">
        <f t="shared" si="220"/>
        <v>3.5300999999999991</v>
      </c>
      <c r="Y139" s="75">
        <f t="shared" si="220"/>
        <v>3.618352499999999</v>
      </c>
      <c r="Z139" s="75">
        <f t="shared" si="220"/>
        <v>3.7088113124999986</v>
      </c>
      <c r="AA139" s="75">
        <f t="shared" si="220"/>
        <v>3.8015315953124982</v>
      </c>
      <c r="AB139" s="75">
        <f t="shared" si="220"/>
        <v>3.8965698851953103</v>
      </c>
    </row>
    <row r="140" spans="2:28">
      <c r="B140" s="10" t="s">
        <v>63</v>
      </c>
      <c r="C140" s="24"/>
      <c r="D140" s="24"/>
      <c r="E140" s="24"/>
      <c r="F140" s="24"/>
      <c r="G140" s="24"/>
      <c r="H140" s="24"/>
      <c r="I140" s="24"/>
      <c r="J140" s="24"/>
      <c r="K140" s="24">
        <f t="shared" ref="K140:V140" si="221">K139/J139-1</f>
        <v>3.082191780821919E-2</v>
      </c>
      <c r="L140" s="24">
        <f t="shared" si="221"/>
        <v>-6.3122923588039836E-2</v>
      </c>
      <c r="M140" s="24">
        <f t="shared" si="221"/>
        <v>-2.4822695035460973E-2</v>
      </c>
      <c r="N140" s="24">
        <f t="shared" si="221"/>
        <v>-3.9999999999999925E-2</v>
      </c>
      <c r="O140" s="24">
        <f t="shared" si="221"/>
        <v>2.2727272727272707E-2</v>
      </c>
      <c r="P140" s="24">
        <f t="shared" si="221"/>
        <v>5.1851851851851816E-2</v>
      </c>
      <c r="Q140" s="24">
        <f t="shared" si="221"/>
        <v>0.12323943661971826</v>
      </c>
      <c r="R140" s="24">
        <f t="shared" si="221"/>
        <v>5.6426332288401326E-2</v>
      </c>
      <c r="S140" s="24">
        <f t="shared" si="221"/>
        <v>-3.264094955489627E-2</v>
      </c>
      <c r="T140" s="24">
        <f t="shared" si="221"/>
        <v>9.2024539877302303E-3</v>
      </c>
      <c r="U140" s="24">
        <f t="shared" si="221"/>
        <v>1.5197568389057725E-2</v>
      </c>
      <c r="V140" s="24">
        <f t="shared" si="221"/>
        <v>5.9880239520957446E-3</v>
      </c>
      <c r="W140" s="25">
        <v>2.5000000000000001E-2</v>
      </c>
      <c r="X140" s="25">
        <v>2.5000000000000001E-2</v>
      </c>
      <c r="Y140" s="25">
        <v>2.5000000000000001E-2</v>
      </c>
      <c r="Z140" s="25">
        <v>2.5000000000000001E-2</v>
      </c>
      <c r="AA140" s="25">
        <v>2.5000000000000001E-2</v>
      </c>
      <c r="AB140" s="25">
        <v>2.5000000000000001E-2</v>
      </c>
    </row>
    <row r="141" spans="2:28">
      <c r="B141" s="10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2:28">
      <c r="B142" s="10" t="s">
        <v>140</v>
      </c>
      <c r="C142" s="24"/>
      <c r="D142" s="24"/>
      <c r="E142" s="24"/>
      <c r="F142" s="24"/>
      <c r="G142" s="24"/>
      <c r="H142" s="24"/>
      <c r="I142" s="58">
        <f t="shared" ref="I142:T142" si="222">I52/I139</f>
        <v>166.77316293929712</v>
      </c>
      <c r="J142" s="58">
        <f t="shared" si="222"/>
        <v>178.76712328767124</v>
      </c>
      <c r="K142" s="58">
        <f t="shared" si="222"/>
        <v>185.71428571428572</v>
      </c>
      <c r="L142" s="58">
        <f t="shared" si="222"/>
        <v>180.85106382978725</v>
      </c>
      <c r="M142" s="58">
        <f t="shared" si="222"/>
        <v>176</v>
      </c>
      <c r="N142" s="58">
        <f t="shared" si="222"/>
        <v>184.09090909090909</v>
      </c>
      <c r="O142" s="58">
        <f t="shared" si="222"/>
        <v>183.33333333333331</v>
      </c>
      <c r="P142" s="58">
        <f t="shared" si="222"/>
        <v>201.05633802816902</v>
      </c>
      <c r="Q142" s="58">
        <f t="shared" si="222"/>
        <v>205.95611285266457</v>
      </c>
      <c r="R142" s="58">
        <f t="shared" si="222"/>
        <v>200.59347181008903</v>
      </c>
      <c r="S142" s="58">
        <f t="shared" si="222"/>
        <v>199.07975460122699</v>
      </c>
      <c r="T142" s="58">
        <f t="shared" si="222"/>
        <v>195.13677811550153</v>
      </c>
      <c r="U142" s="58">
        <f t="shared" ref="U142:AA142" si="223">U52/U139</f>
        <v>207.78443113772457</v>
      </c>
      <c r="V142" s="58">
        <f t="shared" si="223"/>
        <v>229.16666666666669</v>
      </c>
      <c r="W142" s="58">
        <f t="shared" si="223"/>
        <v>226.9308943089431</v>
      </c>
      <c r="X142" s="58">
        <f t="shared" si="223"/>
        <v>224.7169343644656</v>
      </c>
      <c r="Y142" s="58">
        <f t="shared" si="223"/>
        <v>222.52457402920251</v>
      </c>
      <c r="Z142" s="58">
        <f t="shared" si="223"/>
        <v>220.35360257525906</v>
      </c>
      <c r="AA142" s="58">
        <f t="shared" si="223"/>
        <v>218.20381133062241</v>
      </c>
      <c r="AB142" s="58">
        <f t="shared" ref="AB142" si="224">AB52/AB139</f>
        <v>216.07499365910414</v>
      </c>
    </row>
    <row r="143" spans="2:28">
      <c r="B143" s="10" t="s">
        <v>86</v>
      </c>
      <c r="C143" s="24"/>
      <c r="D143" s="24"/>
      <c r="E143" s="24"/>
      <c r="F143" s="24"/>
      <c r="G143" s="24"/>
      <c r="H143" s="24"/>
      <c r="I143" s="58"/>
      <c r="J143" s="58"/>
      <c r="K143" s="58"/>
      <c r="L143" s="38">
        <f>L142/K142-1</f>
        <v>-2.6186579378068675E-2</v>
      </c>
      <c r="M143" s="38">
        <f t="shared" ref="M143:AB143" si="225">M142/L142-1</f>
        <v>-2.6823529411764802E-2</v>
      </c>
      <c r="N143" s="38">
        <f t="shared" si="225"/>
        <v>4.5971074380165344E-2</v>
      </c>
      <c r="O143" s="38">
        <f t="shared" si="225"/>
        <v>-4.115226337448652E-3</v>
      </c>
      <c r="P143" s="38">
        <f t="shared" si="225"/>
        <v>9.6670934699103928E-2</v>
      </c>
      <c r="Q143" s="38">
        <f t="shared" si="225"/>
        <v>2.4370158496615391E-2</v>
      </c>
      <c r="R143" s="38">
        <f t="shared" si="225"/>
        <v>-2.6037785275214609E-2</v>
      </c>
      <c r="S143" s="38">
        <f t="shared" si="225"/>
        <v>-7.5461937779068844E-3</v>
      </c>
      <c r="T143" s="38">
        <f t="shared" si="225"/>
        <v>-1.980601439671037E-2</v>
      </c>
      <c r="U143" s="38">
        <f t="shared" si="225"/>
        <v>6.48142966403642E-2</v>
      </c>
      <c r="V143" s="38">
        <f t="shared" si="225"/>
        <v>0.10290585975024014</v>
      </c>
      <c r="W143" s="38">
        <f t="shared" si="225"/>
        <v>-9.7560975609756184E-3</v>
      </c>
      <c r="X143" s="38">
        <f t="shared" si="225"/>
        <v>-9.7560975609756184E-3</v>
      </c>
      <c r="Y143" s="38">
        <f t="shared" si="225"/>
        <v>-9.7560975609756184E-3</v>
      </c>
      <c r="Z143" s="38">
        <f t="shared" si="225"/>
        <v>-9.7560975609756184E-3</v>
      </c>
      <c r="AA143" s="38">
        <f t="shared" si="225"/>
        <v>-9.7560975609755074E-3</v>
      </c>
      <c r="AB143" s="38">
        <f t="shared" si="225"/>
        <v>-9.7560975609756184E-3</v>
      </c>
    </row>
    <row r="144" spans="2:28">
      <c r="B144" s="10" t="s">
        <v>139</v>
      </c>
      <c r="C144" s="24"/>
      <c r="D144" s="24"/>
      <c r="E144" s="24"/>
      <c r="F144" s="24"/>
      <c r="G144" s="24"/>
      <c r="H144" s="24"/>
      <c r="I144" s="58"/>
      <c r="J144" s="58"/>
      <c r="K144" s="58">
        <f>K133/K142</f>
        <v>109.21615384615384</v>
      </c>
      <c r="L144" s="58">
        <f>L133/L142</f>
        <v>111.53376470588235</v>
      </c>
      <c r="M144" s="58">
        <f t="shared" ref="M144:T144" si="226">M133/M142</f>
        <v>112.25</v>
      </c>
      <c r="N144" s="58">
        <f t="shared" si="226"/>
        <v>112.52592592592592</v>
      </c>
      <c r="O144" s="58">
        <f t="shared" si="226"/>
        <v>119.98363636363638</v>
      </c>
      <c r="P144" s="58">
        <f t="shared" si="226"/>
        <v>141.83922819607048</v>
      </c>
      <c r="Q144" s="58">
        <f t="shared" si="226"/>
        <v>143.11301369863014</v>
      </c>
      <c r="R144" s="58">
        <f t="shared" si="226"/>
        <v>134.76011834319527</v>
      </c>
      <c r="S144" s="58">
        <f t="shared" si="226"/>
        <v>131.7713097072419</v>
      </c>
      <c r="T144" s="58">
        <f t="shared" si="226"/>
        <v>117.95828660436136</v>
      </c>
      <c r="U144" s="58">
        <f t="shared" ref="U144:AA144" si="227">U133/U142</f>
        <v>114.1016190201729</v>
      </c>
      <c r="V144" s="58">
        <f t="shared" si="227"/>
        <v>106.55911069090908</v>
      </c>
      <c r="W144" s="58">
        <f t="shared" si="227"/>
        <v>110.83722277037171</v>
      </c>
      <c r="X144" s="58">
        <f t="shared" si="227"/>
        <v>115.28709156632506</v>
      </c>
      <c r="Y144" s="58">
        <f t="shared" si="227"/>
        <v>119.91561273019477</v>
      </c>
      <c r="Z144" s="58">
        <f t="shared" si="227"/>
        <v>124.72995875852526</v>
      </c>
      <c r="AA144" s="58">
        <f t="shared" si="227"/>
        <v>129.73759010769757</v>
      </c>
      <c r="AB144" s="58">
        <f t="shared" ref="AB144" si="228">AB133/AB142</f>
        <v>134.94626675487854</v>
      </c>
    </row>
    <row r="145" spans="2:28">
      <c r="B145" s="10" t="s">
        <v>86</v>
      </c>
      <c r="C145" s="24"/>
      <c r="D145" s="24"/>
      <c r="E145" s="24"/>
      <c r="F145" s="24"/>
      <c r="G145" s="24"/>
      <c r="H145" s="24"/>
      <c r="I145" s="58"/>
      <c r="J145" s="38"/>
      <c r="K145" s="38"/>
      <c r="L145" s="38">
        <f t="shared" ref="L145:AB145" si="229">L144/K144-1</f>
        <v>2.1220403558553924E-2</v>
      </c>
      <c r="M145" s="38">
        <f>M144/L144-1</f>
        <v>6.4216902926785835E-3</v>
      </c>
      <c r="N145" s="38">
        <f t="shared" si="229"/>
        <v>2.4581374247298893E-3</v>
      </c>
      <c r="O145" s="38">
        <f t="shared" si="229"/>
        <v>6.6275486083267277E-2</v>
      </c>
      <c r="P145" s="38">
        <f t="shared" si="229"/>
        <v>0.18215477122393597</v>
      </c>
      <c r="Q145" s="38">
        <f t="shared" si="229"/>
        <v>8.9804881115036483E-3</v>
      </c>
      <c r="R145" s="38">
        <f t="shared" si="229"/>
        <v>-5.8365728870922506E-2</v>
      </c>
      <c r="S145" s="38">
        <f t="shared" si="229"/>
        <v>-2.21787326450823E-2</v>
      </c>
      <c r="T145" s="38">
        <f t="shared" si="229"/>
        <v>-0.10482572521718969</v>
      </c>
      <c r="U145" s="38">
        <f t="shared" si="229"/>
        <v>-3.2695181451083077E-2</v>
      </c>
      <c r="V145" s="38">
        <f t="shared" si="229"/>
        <v>-6.6103429504627109E-2</v>
      </c>
      <c r="W145" s="38">
        <f t="shared" si="229"/>
        <v>4.0147783251231806E-2</v>
      </c>
      <c r="X145" s="38">
        <f t="shared" si="229"/>
        <v>4.0147783251231584E-2</v>
      </c>
      <c r="Y145" s="38">
        <f t="shared" si="229"/>
        <v>4.0147783251231584E-2</v>
      </c>
      <c r="Z145" s="38">
        <f t="shared" si="229"/>
        <v>4.0147783251231584E-2</v>
      </c>
      <c r="AA145" s="38">
        <f t="shared" si="229"/>
        <v>4.0147783251231584E-2</v>
      </c>
      <c r="AB145" s="38">
        <f t="shared" si="229"/>
        <v>4.0147783251231584E-2</v>
      </c>
    </row>
    <row r="146" spans="2:28">
      <c r="B146" s="10"/>
      <c r="C146" s="24"/>
      <c r="D146" s="24"/>
      <c r="E146" s="24"/>
      <c r="F146" s="24"/>
      <c r="G146" s="24"/>
      <c r="H146" s="24"/>
      <c r="I146" s="24"/>
      <c r="J146" s="24"/>
      <c r="K146" s="58"/>
      <c r="L146" s="58"/>
      <c r="M146" s="58"/>
      <c r="N146" s="5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</row>
    <row r="147" spans="2:28">
      <c r="B147" s="55" t="s">
        <v>141</v>
      </c>
      <c r="C147" s="53"/>
      <c r="D147" s="53"/>
      <c r="E147" s="53"/>
      <c r="F147" s="53"/>
      <c r="G147" s="53"/>
      <c r="H147" s="53"/>
      <c r="I147" s="53"/>
      <c r="J147" s="53"/>
      <c r="K147" s="56"/>
      <c r="L147" s="154">
        <f>SUM(Interims!O96:R96)</f>
        <v>931</v>
      </c>
      <c r="M147" s="154">
        <f>SUM(Interims!S96:V96)</f>
        <v>1843</v>
      </c>
      <c r="N147" s="154">
        <f>SUM(Interims!W96:Z96)</f>
        <v>3590</v>
      </c>
      <c r="O147" s="154">
        <f>SUM(Interims!AA96:AD96)</f>
        <v>4066</v>
      </c>
      <c r="P147" s="154">
        <f>SUM(Interims!AE96:AH96)</f>
        <v>5815</v>
      </c>
      <c r="Q147" s="154">
        <f>SUM(Interims!AI96:AL96)</f>
        <v>6191</v>
      </c>
      <c r="R147" s="154">
        <f>SUM(Interims!AM96:AP96)</f>
        <v>4759</v>
      </c>
      <c r="S147" s="154">
        <f>SUM(Interims!AQ96:AT96)</f>
        <v>2878</v>
      </c>
      <c r="T147" s="154">
        <f>SUM(Interims!AU96:AX96)</f>
        <v>3207</v>
      </c>
      <c r="U147" s="56">
        <f t="shared" ref="U147:AA147" si="230">U148*U133</f>
        <v>3319.1956000000005</v>
      </c>
      <c r="V147" s="56">
        <f t="shared" si="230"/>
        <v>3662.9694300000001</v>
      </c>
      <c r="W147" s="56">
        <f t="shared" si="230"/>
        <v>4024.3824137600004</v>
      </c>
      <c r="X147" s="56">
        <f t="shared" si="230"/>
        <v>4404.1835040586011</v>
      </c>
      <c r="Y147" s="56">
        <f t="shared" si="230"/>
        <v>4536.3090091803588</v>
      </c>
      <c r="Z147" s="56">
        <f t="shared" si="230"/>
        <v>4672.3982794557705</v>
      </c>
      <c r="AA147" s="56">
        <f t="shared" si="230"/>
        <v>5095.6625941829398</v>
      </c>
      <c r="AB147" s="56">
        <f t="shared" ref="AB147" si="231">AB148*AB133</f>
        <v>5248.5324720084272</v>
      </c>
    </row>
    <row r="148" spans="2:28">
      <c r="B148" s="10" t="s">
        <v>5</v>
      </c>
      <c r="C148" s="24"/>
      <c r="D148" s="24"/>
      <c r="E148" s="24"/>
      <c r="F148" s="24"/>
      <c r="G148" s="24"/>
      <c r="H148" s="24"/>
      <c r="I148" s="24"/>
      <c r="J148" s="24"/>
      <c r="K148" s="60"/>
      <c r="L148" s="60">
        <f t="shared" ref="L148:T148" si="232">L147/L133</f>
        <v>4.615537157305042E-2</v>
      </c>
      <c r="M148" s="60">
        <f t="shared" si="232"/>
        <v>9.3288115003037048E-2</v>
      </c>
      <c r="N148" s="60">
        <f t="shared" si="232"/>
        <v>0.17330436881486846</v>
      </c>
      <c r="O148" s="60">
        <f t="shared" si="232"/>
        <v>0.18484338773469108</v>
      </c>
      <c r="P148" s="60">
        <f t="shared" si="232"/>
        <v>0.20390862280553643</v>
      </c>
      <c r="Q148" s="60">
        <f t="shared" si="232"/>
        <v>0.21004240882103478</v>
      </c>
      <c r="R148" s="60">
        <f t="shared" si="232"/>
        <v>0.17605060668836933</v>
      </c>
      <c r="S148" s="60">
        <f t="shared" si="232"/>
        <v>0.10970914497007586</v>
      </c>
      <c r="T148" s="60">
        <f t="shared" si="232"/>
        <v>0.13932574506907638</v>
      </c>
      <c r="U148" s="46">
        <v>0.14000000000000001</v>
      </c>
      <c r="V148" s="46">
        <v>0.15</v>
      </c>
      <c r="W148" s="46">
        <v>0.16</v>
      </c>
      <c r="X148" s="46">
        <v>0.17</v>
      </c>
      <c r="Y148" s="46">
        <v>0.17</v>
      </c>
      <c r="Z148" s="46">
        <v>0.17</v>
      </c>
      <c r="AA148" s="46">
        <v>0.18</v>
      </c>
      <c r="AB148" s="46">
        <v>0.18</v>
      </c>
    </row>
    <row r="149" spans="2:28">
      <c r="B149" s="10"/>
      <c r="C149" s="24"/>
      <c r="D149" s="24"/>
      <c r="E149" s="24"/>
      <c r="F149" s="24"/>
      <c r="G149" s="24"/>
      <c r="H149" s="24"/>
      <c r="I149" s="24"/>
      <c r="J149" s="24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</row>
    <row r="150" spans="2:28">
      <c r="B150" s="35" t="s">
        <v>137</v>
      </c>
      <c r="C150" s="54"/>
      <c r="D150" s="54"/>
      <c r="E150" s="54"/>
      <c r="F150" s="54"/>
      <c r="G150" s="177">
        <f>H150*0.8</f>
        <v>1547.5498287944458</v>
      </c>
      <c r="H150" s="177">
        <f>I150*0.8</f>
        <v>1934.4372859930572</v>
      </c>
      <c r="I150" s="177">
        <f>J150*0.8</f>
        <v>2418.0466074913215</v>
      </c>
      <c r="J150" s="177">
        <f>K150*0.8</f>
        <v>3022.5582593641516</v>
      </c>
      <c r="K150" s="56">
        <f>K151*K137</f>
        <v>3778.1978242051891</v>
      </c>
      <c r="L150" s="56">
        <f>L151*L137</f>
        <v>3578.8013205547213</v>
      </c>
      <c r="M150" s="56">
        <f t="shared" ref="M150:T150" si="233">M151*M133</f>
        <v>3918.0375771104386</v>
      </c>
      <c r="N150" s="56">
        <f t="shared" si="233"/>
        <v>3640.8040666588936</v>
      </c>
      <c r="O150" s="56">
        <f t="shared" si="233"/>
        <v>4899.0304170120608</v>
      </c>
      <c r="P150" s="56">
        <f t="shared" si="233"/>
        <v>8807.2939697202546</v>
      </c>
      <c r="Q150" s="56">
        <f t="shared" si="233"/>
        <v>7122.9200458038085</v>
      </c>
      <c r="R150" s="56">
        <f t="shared" si="233"/>
        <v>5194.5621422578442</v>
      </c>
      <c r="S150" s="56">
        <f t="shared" si="233"/>
        <v>5192.6224128848125</v>
      </c>
      <c r="T150" s="56">
        <f t="shared" ca="1" si="233"/>
        <v>4380.937324543148</v>
      </c>
      <c r="U150" s="154">
        <f ca="1">T150*1.4</f>
        <v>6133.3122543604068</v>
      </c>
      <c r="V150" s="154">
        <f t="shared" ref="V150:AB150" ca="1" si="234">U150-50</f>
        <v>6083.3122543604068</v>
      </c>
      <c r="W150" s="154">
        <f t="shared" ca="1" si="234"/>
        <v>6033.3122543604068</v>
      </c>
      <c r="X150" s="154">
        <f t="shared" ca="1" si="234"/>
        <v>5983.3122543604068</v>
      </c>
      <c r="Y150" s="154">
        <f t="shared" ca="1" si="234"/>
        <v>5933.3122543604068</v>
      </c>
      <c r="Z150" s="154">
        <f t="shared" ca="1" si="234"/>
        <v>5883.3122543604068</v>
      </c>
      <c r="AA150" s="154">
        <f t="shared" ca="1" si="234"/>
        <v>5833.3122543604068</v>
      </c>
      <c r="AB150" s="154">
        <f t="shared" ca="1" si="234"/>
        <v>5783.3122543604068</v>
      </c>
    </row>
    <row r="151" spans="2:28">
      <c r="B151" s="21" t="s">
        <v>87</v>
      </c>
      <c r="C151" s="24"/>
      <c r="D151" s="24"/>
      <c r="E151" s="24"/>
      <c r="F151" s="24"/>
      <c r="G151" s="24"/>
      <c r="H151" s="24"/>
      <c r="I151" s="24"/>
      <c r="J151" s="24"/>
      <c r="K151" s="24">
        <f t="shared" ref="K151:Q151" si="235">K252</f>
        <v>0.18902330519337548</v>
      </c>
      <c r="L151" s="24">
        <f t="shared" si="235"/>
        <v>0.18436975532196803</v>
      </c>
      <c r="M151" s="24">
        <f t="shared" si="235"/>
        <v>0.19832139993472558</v>
      </c>
      <c r="N151" s="24">
        <f t="shared" si="235"/>
        <v>0.17575689435958936</v>
      </c>
      <c r="O151" s="24">
        <f t="shared" si="235"/>
        <v>0.2227135708056581</v>
      </c>
      <c r="P151" s="24">
        <f t="shared" si="235"/>
        <v>0.30883631711249582</v>
      </c>
      <c r="Q151" s="24">
        <f t="shared" si="235"/>
        <v>0.24165971317400539</v>
      </c>
      <c r="R151" s="24">
        <f t="shared" ref="R151:S151" si="236">R252</f>
        <v>0.19216344119036122</v>
      </c>
      <c r="S151" s="24">
        <f t="shared" si="236"/>
        <v>0.19794237841210738</v>
      </c>
      <c r="T151" s="24">
        <f t="shared" ref="T151:AA151" ca="1" si="237">T150/T133</f>
        <v>0.19032658460957286</v>
      </c>
      <c r="U151" s="24">
        <f t="shared" ca="1" si="237"/>
        <v>0.25869632859553587</v>
      </c>
      <c r="V151" s="24">
        <f t="shared" ca="1" si="237"/>
        <v>0.24911396493802052</v>
      </c>
      <c r="W151" s="24">
        <f t="shared" ca="1" si="237"/>
        <v>0.23987033573078173</v>
      </c>
      <c r="X151" s="24">
        <f t="shared" ca="1" si="237"/>
        <v>0.23095383793702506</v>
      </c>
      <c r="Y151" s="24">
        <f t="shared" ca="1" si="237"/>
        <v>0.2223532570642755</v>
      </c>
      <c r="Z151" s="24">
        <f t="shared" ca="1" si="237"/>
        <v>0.21405775437400551</v>
      </c>
      <c r="AA151" s="24">
        <f t="shared" ca="1" si="237"/>
        <v>0.20605685450671682</v>
      </c>
      <c r="AB151" s="24">
        <f t="shared" ref="AB151" ca="1" si="238">AB150/AB133</f>
        <v>0.19834043350912542</v>
      </c>
    </row>
    <row r="152" spans="2:28">
      <c r="B152" s="21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2:28">
      <c r="B153" s="41" t="s">
        <v>29</v>
      </c>
      <c r="C153" s="41">
        <f t="shared" ref="C153:T153" si="239">C131</f>
        <v>2001</v>
      </c>
      <c r="D153" s="41">
        <f t="shared" si="239"/>
        <v>2002</v>
      </c>
      <c r="E153" s="41">
        <f t="shared" si="239"/>
        <v>2003</v>
      </c>
      <c r="F153" s="41">
        <f t="shared" si="239"/>
        <v>2004</v>
      </c>
      <c r="G153" s="41">
        <f t="shared" si="239"/>
        <v>2005</v>
      </c>
      <c r="H153" s="41">
        <f t="shared" si="239"/>
        <v>2006</v>
      </c>
      <c r="I153" s="41">
        <f t="shared" si="239"/>
        <v>2007</v>
      </c>
      <c r="J153" s="41">
        <f t="shared" si="239"/>
        <v>2008</v>
      </c>
      <c r="K153" s="41">
        <f t="shared" si="239"/>
        <v>2009</v>
      </c>
      <c r="L153" s="41">
        <f t="shared" si="239"/>
        <v>2010</v>
      </c>
      <c r="M153" s="41">
        <f t="shared" si="239"/>
        <v>2011</v>
      </c>
      <c r="N153" s="41">
        <f t="shared" si="239"/>
        <v>2012</v>
      </c>
      <c r="O153" s="41">
        <f t="shared" si="239"/>
        <v>2013</v>
      </c>
      <c r="P153" s="41">
        <f t="shared" si="239"/>
        <v>2014</v>
      </c>
      <c r="Q153" s="41">
        <f t="shared" si="239"/>
        <v>2015</v>
      </c>
      <c r="R153" s="41">
        <f t="shared" si="239"/>
        <v>2016</v>
      </c>
      <c r="S153" s="41">
        <f t="shared" si="239"/>
        <v>2017</v>
      </c>
      <c r="T153" s="41">
        <f t="shared" si="239"/>
        <v>2018</v>
      </c>
      <c r="U153" s="41">
        <f t="shared" ref="U153:AA153" si="240">U131</f>
        <v>2019</v>
      </c>
      <c r="V153" s="41">
        <f t="shared" si="240"/>
        <v>2020</v>
      </c>
      <c r="W153" s="41">
        <f t="shared" si="240"/>
        <v>2021</v>
      </c>
      <c r="X153" s="41">
        <f t="shared" si="240"/>
        <v>2022</v>
      </c>
      <c r="Y153" s="41">
        <f t="shared" si="240"/>
        <v>2023</v>
      </c>
      <c r="Z153" s="41">
        <f t="shared" si="240"/>
        <v>2024</v>
      </c>
      <c r="AA153" s="41">
        <f t="shared" si="240"/>
        <v>2025</v>
      </c>
      <c r="AB153" s="41">
        <f t="shared" ref="AB153" si="241">AB131</f>
        <v>2026</v>
      </c>
    </row>
    <row r="155" spans="2:28">
      <c r="B155" s="95" t="s">
        <v>176</v>
      </c>
    </row>
    <row r="156" spans="2:28">
      <c r="B156" s="18" t="s">
        <v>161</v>
      </c>
      <c r="C156" s="18"/>
      <c r="D156" s="18"/>
      <c r="E156" s="18"/>
      <c r="F156" s="18"/>
      <c r="G156" s="18"/>
      <c r="H156" s="18"/>
      <c r="I156" s="18"/>
      <c r="J156" s="18"/>
      <c r="K156" s="64">
        <v>79825</v>
      </c>
      <c r="L156" s="64">
        <v>85090</v>
      </c>
      <c r="M156" s="88">
        <f>SUM(Interims!S100:V100)</f>
        <v>93704</v>
      </c>
      <c r="N156" s="88">
        <f>SUM(Interims!W100:Z100)</f>
        <v>105365</v>
      </c>
      <c r="O156" s="88">
        <f>SUM(Interims!AA100:AD100)</f>
        <v>120664</v>
      </c>
      <c r="P156" s="88">
        <f>SUM(Interims!AE100:AH100)</f>
        <v>136842</v>
      </c>
      <c r="Q156" s="88">
        <f>SUM(Interims!AI100:AL100)</f>
        <v>150667</v>
      </c>
      <c r="R156" s="88">
        <f>SUM(Interims!AM100:AP100)</f>
        <v>175283</v>
      </c>
      <c r="S156" s="88">
        <f>SUM(Interims!AQ100:AT100)</f>
        <v>188922</v>
      </c>
      <c r="T156" s="88">
        <f>SUM(Interims!AU100:AX100)</f>
        <v>196427</v>
      </c>
      <c r="U156" s="94">
        <f t="shared" ref="U156:AB156" si="242">(1+U157)*T156</f>
        <v>196427</v>
      </c>
      <c r="V156" s="94">
        <f t="shared" si="242"/>
        <v>196427</v>
      </c>
      <c r="W156" s="94">
        <f t="shared" si="242"/>
        <v>196427</v>
      </c>
      <c r="X156" s="94">
        <f t="shared" si="242"/>
        <v>196427</v>
      </c>
      <c r="Y156" s="94">
        <f t="shared" si="242"/>
        <v>196427</v>
      </c>
      <c r="Z156" s="94">
        <f t="shared" si="242"/>
        <v>196427</v>
      </c>
      <c r="AA156" s="94">
        <f t="shared" si="242"/>
        <v>196427</v>
      </c>
      <c r="AB156" s="94">
        <f t="shared" si="242"/>
        <v>196427</v>
      </c>
    </row>
    <row r="157" spans="2:28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5">
        <f t="shared" ref="L157:T157" si="243">L156/K156-1</f>
        <v>6.5956780457250286E-2</v>
      </c>
      <c r="M157" s="5">
        <f t="shared" si="243"/>
        <v>0.10123398754260204</v>
      </c>
      <c r="N157" s="5">
        <f t="shared" si="243"/>
        <v>0.12444506104328523</v>
      </c>
      <c r="O157" s="5">
        <f t="shared" si="243"/>
        <v>0.14520001898163537</v>
      </c>
      <c r="P157" s="5">
        <f t="shared" si="243"/>
        <v>0.13407478618311996</v>
      </c>
      <c r="Q157" s="5">
        <f t="shared" si="243"/>
        <v>0.10102892386840301</v>
      </c>
      <c r="R157" s="5">
        <f t="shared" si="243"/>
        <v>0.16338016951289935</v>
      </c>
      <c r="S157" s="5">
        <f t="shared" si="243"/>
        <v>7.7811310851594317E-2</v>
      </c>
      <c r="T157" s="5">
        <f t="shared" si="243"/>
        <v>3.9725389314108517E-2</v>
      </c>
      <c r="U157" s="76">
        <v>0</v>
      </c>
      <c r="V157" s="76">
        <v>0</v>
      </c>
      <c r="W157" s="76">
        <v>0</v>
      </c>
      <c r="X157" s="76">
        <v>0</v>
      </c>
      <c r="Y157" s="76">
        <v>0</v>
      </c>
      <c r="Z157" s="76">
        <v>0</v>
      </c>
      <c r="AA157" s="76">
        <v>0</v>
      </c>
      <c r="AB157" s="76">
        <v>0</v>
      </c>
    </row>
    <row r="158" spans="2:28">
      <c r="B158" s="3" t="s">
        <v>925</v>
      </c>
      <c r="C158" s="3"/>
      <c r="D158" s="3"/>
      <c r="E158" s="3"/>
      <c r="F158" s="3"/>
      <c r="G158" s="3"/>
      <c r="H158" s="3"/>
      <c r="I158" s="3"/>
      <c r="J158" s="3"/>
      <c r="K158" s="30">
        <v>7000</v>
      </c>
      <c r="L158" s="30">
        <v>49000</v>
      </c>
      <c r="M158" s="79">
        <f>(1+M159)*L158</f>
        <v>49490</v>
      </c>
      <c r="N158" s="79">
        <f>(1+N159)*M158</f>
        <v>49984.9</v>
      </c>
      <c r="O158" s="79">
        <f t="shared" ref="O158:AB158" si="244">(1+O159)*N158</f>
        <v>50484.749000000003</v>
      </c>
      <c r="P158" s="79">
        <f t="shared" si="244"/>
        <v>51999.291470000004</v>
      </c>
      <c r="Q158" s="79">
        <f t="shared" si="244"/>
        <v>52519.284384700004</v>
      </c>
      <c r="R158" s="79">
        <f t="shared" si="244"/>
        <v>53044.477228547003</v>
      </c>
      <c r="S158" s="79">
        <f t="shared" si="244"/>
        <v>53574.92200083247</v>
      </c>
      <c r="T158" s="79">
        <f t="shared" si="244"/>
        <v>54110.671220840792</v>
      </c>
      <c r="U158" s="79">
        <f t="shared" si="244"/>
        <v>54651.777933049198</v>
      </c>
      <c r="V158" s="79">
        <f t="shared" si="244"/>
        <v>55198.295712379688</v>
      </c>
      <c r="W158" s="79">
        <f t="shared" si="244"/>
        <v>55750.278669503488</v>
      </c>
      <c r="X158" s="79">
        <f t="shared" si="244"/>
        <v>56307.781456198521</v>
      </c>
      <c r="Y158" s="79">
        <f t="shared" si="244"/>
        <v>56870.859270760506</v>
      </c>
      <c r="Z158" s="79">
        <f t="shared" si="244"/>
        <v>57439.56786346811</v>
      </c>
      <c r="AA158" s="79">
        <f t="shared" si="244"/>
        <v>58013.963542102792</v>
      </c>
      <c r="AB158" s="79">
        <f t="shared" si="244"/>
        <v>58594.103177523823</v>
      </c>
    </row>
    <row r="159" spans="2:28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5"/>
      <c r="M159" s="76">
        <v>0.01</v>
      </c>
      <c r="N159" s="76">
        <v>0.01</v>
      </c>
      <c r="O159" s="76">
        <v>0.01</v>
      </c>
      <c r="P159" s="76">
        <v>0.03</v>
      </c>
      <c r="Q159" s="76">
        <v>0.01</v>
      </c>
      <c r="R159" s="76">
        <v>0.01</v>
      </c>
      <c r="S159" s="76">
        <v>0.01</v>
      </c>
      <c r="T159" s="76">
        <v>0.01</v>
      </c>
      <c r="U159" s="76">
        <v>0.01</v>
      </c>
      <c r="V159" s="76">
        <v>0.01</v>
      </c>
      <c r="W159" s="76">
        <v>0.01</v>
      </c>
      <c r="X159" s="76">
        <v>0.01</v>
      </c>
      <c r="Y159" s="76">
        <v>0.01</v>
      </c>
      <c r="Z159" s="76">
        <v>0.01</v>
      </c>
      <c r="AA159" s="76">
        <v>0.01</v>
      </c>
      <c r="AB159" s="76">
        <v>0.01</v>
      </c>
    </row>
    <row r="160" spans="2:28">
      <c r="B160" s="3" t="s">
        <v>172</v>
      </c>
      <c r="C160" s="3"/>
      <c r="D160" s="3"/>
      <c r="E160" s="3"/>
      <c r="F160" s="3"/>
      <c r="G160" s="3"/>
      <c r="H160" s="3"/>
      <c r="I160" s="3"/>
      <c r="J160" s="3"/>
      <c r="K160" s="30">
        <v>137000</v>
      </c>
      <c r="L160" s="30">
        <v>139000</v>
      </c>
      <c r="M160" s="79">
        <f t="shared" ref="M160:AB160" si="245">(1+M161)*L160</f>
        <v>140390</v>
      </c>
      <c r="N160" s="79">
        <f t="shared" si="245"/>
        <v>141793.9</v>
      </c>
      <c r="O160" s="79">
        <f t="shared" si="245"/>
        <v>143211.83900000001</v>
      </c>
      <c r="P160" s="79">
        <f t="shared" si="245"/>
        <v>147508.19417</v>
      </c>
      <c r="Q160" s="79">
        <f t="shared" si="245"/>
        <v>148983.27611169999</v>
      </c>
      <c r="R160" s="79">
        <f t="shared" si="245"/>
        <v>150473.10887281699</v>
      </c>
      <c r="S160" s="79">
        <f t="shared" si="245"/>
        <v>151977.83996154516</v>
      </c>
      <c r="T160" s="79">
        <f t="shared" si="245"/>
        <v>153497.61836116062</v>
      </c>
      <c r="U160" s="79">
        <f t="shared" si="245"/>
        <v>155032.59454477223</v>
      </c>
      <c r="V160" s="79">
        <f t="shared" si="245"/>
        <v>156582.92049021996</v>
      </c>
      <c r="W160" s="79">
        <f t="shared" si="245"/>
        <v>158148.74969512215</v>
      </c>
      <c r="X160" s="79">
        <f t="shared" si="245"/>
        <v>159730.23719207337</v>
      </c>
      <c r="Y160" s="79">
        <f t="shared" si="245"/>
        <v>161327.5395639941</v>
      </c>
      <c r="Z160" s="79">
        <f t="shared" si="245"/>
        <v>162940.81495963404</v>
      </c>
      <c r="AA160" s="79">
        <f t="shared" si="245"/>
        <v>164570.22310923037</v>
      </c>
      <c r="AB160" s="79">
        <f t="shared" si="245"/>
        <v>166215.92534032266</v>
      </c>
    </row>
    <row r="161" spans="2:28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5"/>
      <c r="M161" s="76">
        <v>0.01</v>
      </c>
      <c r="N161" s="76">
        <v>0.01</v>
      </c>
      <c r="O161" s="76">
        <v>0.01</v>
      </c>
      <c r="P161" s="76">
        <v>0.03</v>
      </c>
      <c r="Q161" s="76">
        <v>0.01</v>
      </c>
      <c r="R161" s="76">
        <v>0.01</v>
      </c>
      <c r="S161" s="76">
        <v>0.01</v>
      </c>
      <c r="T161" s="76">
        <v>0.01</v>
      </c>
      <c r="U161" s="76">
        <v>0.01</v>
      </c>
      <c r="V161" s="76">
        <v>0.01</v>
      </c>
      <c r="W161" s="76">
        <v>0.01</v>
      </c>
      <c r="X161" s="76">
        <v>0.01</v>
      </c>
      <c r="Y161" s="76">
        <v>0.01</v>
      </c>
      <c r="Z161" s="76">
        <v>0.01</v>
      </c>
      <c r="AA161" s="76">
        <v>0.01</v>
      </c>
      <c r="AB161" s="76">
        <v>0.01</v>
      </c>
    </row>
    <row r="162" spans="2:28">
      <c r="B162" s="3" t="s">
        <v>173</v>
      </c>
      <c r="C162" s="3"/>
      <c r="D162" s="3"/>
      <c r="E162" s="3"/>
      <c r="F162" s="3"/>
      <c r="G162" s="3"/>
      <c r="H162" s="3"/>
      <c r="I162" s="3"/>
      <c r="J162" s="3"/>
      <c r="K162" s="30">
        <v>69000</v>
      </c>
      <c r="L162" s="30">
        <v>65000</v>
      </c>
      <c r="M162" s="79">
        <f t="shared" ref="M162:AB162" si="246">(1+M163)*L162</f>
        <v>65650</v>
      </c>
      <c r="N162" s="79">
        <f t="shared" si="246"/>
        <v>66306.5</v>
      </c>
      <c r="O162" s="79">
        <f t="shared" si="246"/>
        <v>66969.565000000002</v>
      </c>
      <c r="P162" s="79">
        <f t="shared" si="246"/>
        <v>68978.651949999999</v>
      </c>
      <c r="Q162" s="79">
        <f t="shared" si="246"/>
        <v>69668.438469500004</v>
      </c>
      <c r="R162" s="79">
        <f t="shared" si="246"/>
        <v>70365.122854195011</v>
      </c>
      <c r="S162" s="79">
        <f t="shared" si="246"/>
        <v>71068.774082736956</v>
      </c>
      <c r="T162" s="79">
        <f t="shared" si="246"/>
        <v>71779.461823564328</v>
      </c>
      <c r="U162" s="79">
        <f t="shared" si="246"/>
        <v>72497.256441799967</v>
      </c>
      <c r="V162" s="79">
        <f t="shared" si="246"/>
        <v>73222.229006217967</v>
      </c>
      <c r="W162" s="79">
        <f t="shared" si="246"/>
        <v>73954.451296280153</v>
      </c>
      <c r="X162" s="79">
        <f t="shared" si="246"/>
        <v>74693.995809242959</v>
      </c>
      <c r="Y162" s="79">
        <f t="shared" si="246"/>
        <v>75440.935767335395</v>
      </c>
      <c r="Z162" s="79">
        <f t="shared" si="246"/>
        <v>76195.345125008753</v>
      </c>
      <c r="AA162" s="79">
        <f t="shared" si="246"/>
        <v>76957.298576258836</v>
      </c>
      <c r="AB162" s="79">
        <f t="shared" si="246"/>
        <v>77726.871562021421</v>
      </c>
    </row>
    <row r="163" spans="2:28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76">
        <v>0.01</v>
      </c>
      <c r="N163" s="76">
        <v>0.01</v>
      </c>
      <c r="O163" s="76">
        <v>0.01</v>
      </c>
      <c r="P163" s="76">
        <v>0.03</v>
      </c>
      <c r="Q163" s="76">
        <v>0.01</v>
      </c>
      <c r="R163" s="76">
        <v>0.01</v>
      </c>
      <c r="S163" s="76">
        <v>0.01</v>
      </c>
      <c r="T163" s="76">
        <v>0.01</v>
      </c>
      <c r="U163" s="76">
        <v>0.01</v>
      </c>
      <c r="V163" s="76">
        <v>0.01</v>
      </c>
      <c r="W163" s="76">
        <v>0.01</v>
      </c>
      <c r="X163" s="76">
        <v>0.01</v>
      </c>
      <c r="Y163" s="76">
        <v>0.01</v>
      </c>
      <c r="Z163" s="76">
        <v>0.01</v>
      </c>
      <c r="AA163" s="76">
        <v>0.01</v>
      </c>
      <c r="AB163" s="76">
        <v>0.01</v>
      </c>
    </row>
    <row r="164" spans="2:28">
      <c r="B164" s="3" t="s">
        <v>171</v>
      </c>
      <c r="C164" s="3"/>
      <c r="D164" s="3"/>
      <c r="E164" s="3"/>
      <c r="F164" s="3"/>
      <c r="G164" s="3"/>
      <c r="H164" s="3"/>
      <c r="I164" s="3"/>
      <c r="J164" s="79">
        <v>210000</v>
      </c>
      <c r="K164" s="79">
        <f>K158+K160+K162</f>
        <v>213000</v>
      </c>
      <c r="L164" s="79">
        <f>L158+L160+L162</f>
        <v>253000</v>
      </c>
      <c r="M164" s="79">
        <f t="shared" ref="M164:T164" si="247">M158+M160+M162</f>
        <v>255530</v>
      </c>
      <c r="N164" s="79">
        <f>N158+N160+N162</f>
        <v>258085.3</v>
      </c>
      <c r="O164" s="79">
        <f t="shared" si="247"/>
        <v>260666.15300000002</v>
      </c>
      <c r="P164" s="79">
        <f t="shared" si="247"/>
        <v>268486.13759</v>
      </c>
      <c r="Q164" s="79">
        <f t="shared" si="247"/>
        <v>271170.99896589998</v>
      </c>
      <c r="R164" s="79">
        <f t="shared" si="247"/>
        <v>273882.70895555901</v>
      </c>
      <c r="S164" s="79">
        <f t="shared" si="247"/>
        <v>276621.53604511463</v>
      </c>
      <c r="T164" s="79">
        <f t="shared" si="247"/>
        <v>279387.75140556577</v>
      </c>
      <c r="U164" s="79">
        <f t="shared" ref="U164:AA164" si="248">U158+U160+U162</f>
        <v>282181.62891962141</v>
      </c>
      <c r="V164" s="79">
        <f t="shared" si="248"/>
        <v>285003.4452088176</v>
      </c>
      <c r="W164" s="79">
        <f t="shared" si="248"/>
        <v>287853.47966090578</v>
      </c>
      <c r="X164" s="79">
        <f t="shared" si="248"/>
        <v>290732.01445751486</v>
      </c>
      <c r="Y164" s="79">
        <f t="shared" si="248"/>
        <v>293639.33460209001</v>
      </c>
      <c r="Z164" s="79">
        <f t="shared" si="248"/>
        <v>296575.7279481109</v>
      </c>
      <c r="AA164" s="79">
        <f t="shared" si="248"/>
        <v>299541.485227592</v>
      </c>
      <c r="AB164" s="79">
        <f t="shared" ref="AB164" si="249">AB158+AB160+AB162</f>
        <v>302536.90007986792</v>
      </c>
    </row>
    <row r="165" spans="2:28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2:28">
      <c r="B166" s="3" t="s">
        <v>174</v>
      </c>
      <c r="C166" s="3"/>
      <c r="D166" s="3"/>
      <c r="E166" s="3"/>
      <c r="F166" s="3"/>
      <c r="G166" s="3"/>
      <c r="H166" s="3"/>
      <c r="I166" s="3"/>
      <c r="J166" s="3"/>
      <c r="K166" s="7">
        <f t="shared" ref="K166:S166" si="250">K168/AVERAGE(J164,K164)/12*1000000</f>
        <v>16072.49802994484</v>
      </c>
      <c r="L166" s="7">
        <f t="shared" si="250"/>
        <v>14190.629470672387</v>
      </c>
      <c r="M166" s="7">
        <f t="shared" si="250"/>
        <v>13668.482357645236</v>
      </c>
      <c r="N166" s="7">
        <f t="shared" si="250"/>
        <v>13456.569537550769</v>
      </c>
      <c r="O166" s="7">
        <f t="shared" si="250"/>
        <v>13866.627826743328</v>
      </c>
      <c r="P166" s="7">
        <f t="shared" si="250"/>
        <v>15927.676807879518</v>
      </c>
      <c r="Q166" s="7">
        <f t="shared" si="250"/>
        <v>18784.148885150466</v>
      </c>
      <c r="R166" s="7">
        <f t="shared" si="250"/>
        <v>19426.831728282581</v>
      </c>
      <c r="S166" s="7">
        <f t="shared" si="250"/>
        <v>17330.777652141434</v>
      </c>
      <c r="T166" s="79">
        <f t="shared" ref="T166:AB166" ca="1" si="251">(1+T167)*S166</f>
        <v>15460.87690617567</v>
      </c>
      <c r="U166" s="79">
        <f t="shared" ca="1" si="251"/>
        <v>16233.920751484455</v>
      </c>
      <c r="V166" s="79">
        <f t="shared" ca="1" si="251"/>
        <v>17045.616789058677</v>
      </c>
      <c r="W166" s="79">
        <f t="shared" ca="1" si="251"/>
        <v>17897.897628511611</v>
      </c>
      <c r="X166" s="79">
        <f t="shared" ca="1" si="251"/>
        <v>18792.792509937193</v>
      </c>
      <c r="Y166" s="79">
        <f t="shared" ca="1" si="251"/>
        <v>19732.432135434054</v>
      </c>
      <c r="Z166" s="79">
        <f t="shared" ca="1" si="251"/>
        <v>20719.053742205757</v>
      </c>
      <c r="AA166" s="79">
        <f t="shared" ca="1" si="251"/>
        <v>21755.006429316047</v>
      </c>
      <c r="AB166" s="79">
        <f t="shared" ca="1" si="251"/>
        <v>22842.756750781849</v>
      </c>
    </row>
    <row r="167" spans="2:28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5"/>
      <c r="M167" s="5">
        <f t="shared" ref="M167:T167" si="252">M166/L166-1</f>
        <v>-3.6795204476747556E-2</v>
      </c>
      <c r="N167" s="5">
        <f t="shared" si="252"/>
        <v>-1.5503756346141651E-2</v>
      </c>
      <c r="O167" s="5">
        <f t="shared" si="252"/>
        <v>3.0472721004286107E-2</v>
      </c>
      <c r="P167" s="5">
        <f t="shared" si="252"/>
        <v>0.14863375630239584</v>
      </c>
      <c r="Q167" s="5">
        <f t="shared" si="252"/>
        <v>0.17934015812386606</v>
      </c>
      <c r="R167" s="5">
        <f t="shared" si="252"/>
        <v>3.4214105044715559E-2</v>
      </c>
      <c r="S167" s="5">
        <f t="shared" si="252"/>
        <v>-0.10789479753868481</v>
      </c>
      <c r="T167" s="5">
        <f t="shared" ca="1" si="252"/>
        <v>-0.10789479753868481</v>
      </c>
      <c r="U167" s="76">
        <v>0.05</v>
      </c>
      <c r="V167" s="76">
        <v>0.05</v>
      </c>
      <c r="W167" s="76">
        <v>0.05</v>
      </c>
      <c r="X167" s="76">
        <v>0.05</v>
      </c>
      <c r="Y167" s="76">
        <v>0.05</v>
      </c>
      <c r="Z167" s="76">
        <v>0.05</v>
      </c>
      <c r="AA167" s="76">
        <v>0.05</v>
      </c>
      <c r="AB167" s="76">
        <v>0.05</v>
      </c>
    </row>
    <row r="168" spans="2:28">
      <c r="B168" s="18" t="s">
        <v>19</v>
      </c>
      <c r="C168" s="18"/>
      <c r="D168" s="18"/>
      <c r="E168" s="18"/>
      <c r="F168" s="18"/>
      <c r="G168" s="18"/>
      <c r="H168" s="18"/>
      <c r="I168" s="18"/>
      <c r="J168" s="18"/>
      <c r="K168" s="64">
        <v>40792</v>
      </c>
      <c r="L168" s="64">
        <v>39677</v>
      </c>
      <c r="M168" s="88">
        <f>SUM(Interims!S101:V101)</f>
        <v>41705</v>
      </c>
      <c r="N168" s="88">
        <f>SUM(Interims!W101:Z101)</f>
        <v>41469</v>
      </c>
      <c r="O168" s="88">
        <v>43160</v>
      </c>
      <c r="P168" s="88">
        <v>50569</v>
      </c>
      <c r="Q168" s="88">
        <v>60822</v>
      </c>
      <c r="R168" s="88">
        <f>SUM(Interims!AM101:AP101)</f>
        <v>63532</v>
      </c>
      <c r="S168" s="88">
        <f>SUM(Interims!AQ101:AT101)</f>
        <v>57244</v>
      </c>
      <c r="T168" s="88">
        <f>SUM(Interims!AU101:AX101)</f>
        <v>52845</v>
      </c>
      <c r="U168" s="94">
        <f t="shared" ref="U168:AB168" ca="1" si="253">U166*AVERAGE(T164,U164)*12/1000000</f>
        <v>54698.836899955932</v>
      </c>
      <c r="V168" s="94">
        <f t="shared" ca="1" si="253"/>
        <v>58008.116532403263</v>
      </c>
      <c r="W168" s="94">
        <f t="shared" ca="1" si="253"/>
        <v>61517.607582613658</v>
      </c>
      <c r="X168" s="94">
        <f t="shared" ca="1" si="253"/>
        <v>65239.422841361789</v>
      </c>
      <c r="Y168" s="94">
        <f t="shared" ca="1" si="253"/>
        <v>69186.407923264196</v>
      </c>
      <c r="Z168" s="94">
        <f t="shared" ca="1" si="253"/>
        <v>73372.185602621656</v>
      </c>
      <c r="AA168" s="94">
        <f t="shared" ca="1" si="253"/>
        <v>77811.202831580275</v>
      </c>
      <c r="AB168" s="94">
        <f t="shared" ca="1" si="253"/>
        <v>82518.780602890882</v>
      </c>
    </row>
    <row r="169" spans="2:28">
      <c r="B169" s="3" t="s">
        <v>63</v>
      </c>
      <c r="C169" s="3"/>
      <c r="D169" s="3"/>
      <c r="E169" s="3"/>
      <c r="F169" s="3"/>
      <c r="G169" s="3"/>
      <c r="H169" s="3"/>
      <c r="I169" s="3"/>
      <c r="J169" s="3"/>
      <c r="K169" s="3"/>
      <c r="L169" s="5">
        <f>L168/K168-1</f>
        <v>-2.7333790939399916E-2</v>
      </c>
      <c r="M169" s="5">
        <f>M168/L168-1</f>
        <v>5.1112735337853099E-2</v>
      </c>
      <c r="N169" s="5">
        <f t="shared" ref="N169:AB169" si="254">N168/M168-1</f>
        <v>-5.6587939096031104E-3</v>
      </c>
      <c r="O169" s="5">
        <f t="shared" si="254"/>
        <v>4.0777448214328826E-2</v>
      </c>
      <c r="P169" s="5">
        <f t="shared" si="254"/>
        <v>0.17166357738646898</v>
      </c>
      <c r="Q169" s="5">
        <f t="shared" si="254"/>
        <v>0.20275267456346779</v>
      </c>
      <c r="R169" s="5">
        <f t="shared" si="254"/>
        <v>4.4556246095162955E-2</v>
      </c>
      <c r="S169" s="5">
        <f t="shared" si="254"/>
        <v>-9.8973745514071676E-2</v>
      </c>
      <c r="T169" s="5">
        <f t="shared" si="254"/>
        <v>-7.6846481727342653E-2</v>
      </c>
      <c r="U169" s="5">
        <f t="shared" ca="1" si="254"/>
        <v>3.5080649067195324E-2</v>
      </c>
      <c r="V169" s="5">
        <f t="shared" ca="1" si="254"/>
        <v>6.0499999999999998E-2</v>
      </c>
      <c r="W169" s="5">
        <f t="shared" ca="1" si="254"/>
        <v>6.0499999999999998E-2</v>
      </c>
      <c r="X169" s="5">
        <f t="shared" ca="1" si="254"/>
        <v>6.0499999999999998E-2</v>
      </c>
      <c r="Y169" s="5">
        <f t="shared" ca="1" si="254"/>
        <v>6.050000000000022E-2</v>
      </c>
      <c r="Z169" s="5">
        <f t="shared" ca="1" si="254"/>
        <v>6.0499999999999554E-2</v>
      </c>
      <c r="AA169" s="5">
        <f t="shared" ca="1" si="254"/>
        <v>6.050000000000022E-2</v>
      </c>
      <c r="AB169" s="5">
        <f t="shared" ca="1" si="254"/>
        <v>6.0499999999999998E-2</v>
      </c>
    </row>
    <row r="170" spans="2:28">
      <c r="B170" s="18" t="s">
        <v>162</v>
      </c>
      <c r="C170" s="18"/>
      <c r="D170" s="18"/>
      <c r="E170" s="18"/>
      <c r="F170" s="18"/>
      <c r="G170" s="18"/>
      <c r="H170" s="18"/>
      <c r="I170" s="18"/>
      <c r="J170" s="18"/>
      <c r="K170" s="64">
        <v>35547</v>
      </c>
      <c r="L170" s="64">
        <v>33761</v>
      </c>
      <c r="M170" s="88">
        <f>SUM(Interims!S102:V102)</f>
        <v>30689</v>
      </c>
      <c r="N170" s="88">
        <f>SUM(Interims!W102:Z102)</f>
        <v>32805</v>
      </c>
      <c r="O170" s="88">
        <v>32027</v>
      </c>
      <c r="P170" s="88">
        <v>26961</v>
      </c>
      <c r="Q170" s="88">
        <v>19152</v>
      </c>
      <c r="R170" s="88">
        <f>SUM(Interims!AM102:AP102)</f>
        <v>16399</v>
      </c>
      <c r="S170" s="88">
        <f>SUM(Interims!AQ102:AT102)</f>
        <v>12367</v>
      </c>
      <c r="T170" s="88">
        <f>SUM(Interims!AU102:AX102)</f>
        <v>10464</v>
      </c>
      <c r="U170" s="94">
        <f t="shared" ref="U170:AB170" si="255">(1+U171)*T170</f>
        <v>9417.6</v>
      </c>
      <c r="V170" s="94">
        <f t="shared" si="255"/>
        <v>8475.84</v>
      </c>
      <c r="W170" s="94">
        <f t="shared" si="255"/>
        <v>7628.2560000000003</v>
      </c>
      <c r="X170" s="94">
        <f t="shared" si="255"/>
        <v>6865.4304000000002</v>
      </c>
      <c r="Y170" s="94">
        <f t="shared" si="255"/>
        <v>6178.8873600000006</v>
      </c>
      <c r="Z170" s="94">
        <f t="shared" si="255"/>
        <v>5560.9986240000007</v>
      </c>
      <c r="AA170" s="94">
        <f t="shared" si="255"/>
        <v>5004.8987616000004</v>
      </c>
      <c r="AB170" s="94">
        <f t="shared" si="255"/>
        <v>4504.4088854400006</v>
      </c>
    </row>
    <row r="171" spans="2:28">
      <c r="B171" s="3" t="s">
        <v>63</v>
      </c>
      <c r="C171" s="3"/>
      <c r="D171" s="3"/>
      <c r="E171" s="3"/>
      <c r="F171" s="3"/>
      <c r="G171" s="3"/>
      <c r="H171" s="3"/>
      <c r="I171" s="3"/>
      <c r="J171" s="3"/>
      <c r="K171" s="3"/>
      <c r="L171" s="5">
        <f t="shared" ref="L171:T171" si="256">L170/K170-1</f>
        <v>-5.0243339803640263E-2</v>
      </c>
      <c r="M171" s="5">
        <f t="shared" si="256"/>
        <v>-9.0992565386096347E-2</v>
      </c>
      <c r="N171" s="5">
        <f t="shared" si="256"/>
        <v>6.8949786568477389E-2</v>
      </c>
      <c r="O171" s="5">
        <f t="shared" si="256"/>
        <v>-2.3715896966925776E-2</v>
      </c>
      <c r="P171" s="5">
        <f t="shared" si="256"/>
        <v>-0.15817903643800546</v>
      </c>
      <c r="Q171" s="5">
        <f t="shared" si="256"/>
        <v>-0.28964059196617331</v>
      </c>
      <c r="R171" s="5">
        <f t="shared" si="256"/>
        <v>-0.14374477861319968</v>
      </c>
      <c r="S171" s="5">
        <f t="shared" si="256"/>
        <v>-0.2458686505274712</v>
      </c>
      <c r="T171" s="5">
        <f t="shared" si="256"/>
        <v>-0.1538772539823724</v>
      </c>
      <c r="U171" s="76">
        <v>-0.1</v>
      </c>
      <c r="V171" s="76">
        <v>-0.1</v>
      </c>
      <c r="W171" s="76">
        <v>-0.1</v>
      </c>
      <c r="X171" s="76">
        <v>-0.1</v>
      </c>
      <c r="Y171" s="76">
        <v>-0.1</v>
      </c>
      <c r="Z171" s="76">
        <v>-0.1</v>
      </c>
      <c r="AA171" s="76">
        <v>-0.1</v>
      </c>
      <c r="AB171" s="76">
        <v>-0.1</v>
      </c>
    </row>
    <row r="172" spans="2:28">
      <c r="B172" s="18" t="s">
        <v>928</v>
      </c>
      <c r="C172" s="18"/>
      <c r="D172" s="18"/>
      <c r="E172" s="18"/>
      <c r="F172" s="18"/>
      <c r="G172" s="18"/>
      <c r="H172" s="18"/>
      <c r="I172" s="18"/>
      <c r="J172" s="18"/>
      <c r="K172" s="64">
        <v>15467</v>
      </c>
      <c r="L172" s="64">
        <v>15885</v>
      </c>
      <c r="M172" s="88">
        <f>SUM(Interims!S103:V103)</f>
        <v>16585</v>
      </c>
      <c r="N172" s="88">
        <f>SUM(Interims!W103:Z103)</f>
        <v>17218</v>
      </c>
      <c r="O172" s="88">
        <v>20626</v>
      </c>
      <c r="P172" s="88">
        <v>24097</v>
      </c>
      <c r="Q172" s="88">
        <v>28698</v>
      </c>
      <c r="R172" s="88">
        <f>SUM(Interims!AM103:AP103)</f>
        <v>35079</v>
      </c>
      <c r="S172" s="88">
        <f>SUM(Interims!AQ103:AT103)</f>
        <v>43846</v>
      </c>
      <c r="T172" s="88">
        <f>SUM(Interims!AU103:AX103)</f>
        <v>49366</v>
      </c>
      <c r="U172" s="94">
        <f t="shared" ref="U172:AB172" si="257">(1+U173)*T172</f>
        <v>54302.600000000006</v>
      </c>
      <c r="V172" s="94">
        <f t="shared" si="257"/>
        <v>59732.860000000008</v>
      </c>
      <c r="W172" s="94">
        <f t="shared" si="257"/>
        <v>65706.146000000008</v>
      </c>
      <c r="X172" s="94">
        <f t="shared" si="257"/>
        <v>72276.760600000009</v>
      </c>
      <c r="Y172" s="94">
        <f t="shared" si="257"/>
        <v>79504.436660000021</v>
      </c>
      <c r="Z172" s="94">
        <f t="shared" si="257"/>
        <v>87454.880326000028</v>
      </c>
      <c r="AA172" s="94">
        <f t="shared" si="257"/>
        <v>96200.368358600041</v>
      </c>
      <c r="AB172" s="94">
        <f t="shared" si="257"/>
        <v>105820.40519446005</v>
      </c>
    </row>
    <row r="173" spans="2:28">
      <c r="B173" s="3" t="s">
        <v>63</v>
      </c>
      <c r="C173" s="3"/>
      <c r="D173" s="3"/>
      <c r="E173" s="3"/>
      <c r="F173" s="3"/>
      <c r="G173" s="3"/>
      <c r="H173" s="3"/>
      <c r="I173" s="3"/>
      <c r="J173" s="3"/>
      <c r="K173" s="3"/>
      <c r="L173" s="5">
        <f t="shared" ref="L173:T173" si="258">L172/K172-1</f>
        <v>2.7025279627594267E-2</v>
      </c>
      <c r="M173" s="5">
        <f t="shared" si="258"/>
        <v>4.406672961913749E-2</v>
      </c>
      <c r="N173" s="5">
        <f t="shared" si="258"/>
        <v>3.8167018390111496E-2</v>
      </c>
      <c r="O173" s="5">
        <f t="shared" si="258"/>
        <v>0.19793239632942261</v>
      </c>
      <c r="P173" s="5">
        <f t="shared" si="258"/>
        <v>0.16828274992727632</v>
      </c>
      <c r="Q173" s="5">
        <f t="shared" si="258"/>
        <v>0.19093663111590664</v>
      </c>
      <c r="R173" s="5">
        <f t="shared" si="258"/>
        <v>0.22234998954630991</v>
      </c>
      <c r="S173" s="5">
        <f t="shared" si="258"/>
        <v>0.24992160551897147</v>
      </c>
      <c r="T173" s="5">
        <f t="shared" si="258"/>
        <v>0.12589517857957389</v>
      </c>
      <c r="U173" s="76">
        <v>0.1</v>
      </c>
      <c r="V173" s="76">
        <v>0.1</v>
      </c>
      <c r="W173" s="76">
        <v>0.1</v>
      </c>
      <c r="X173" s="76">
        <v>0.1</v>
      </c>
      <c r="Y173" s="76">
        <v>0.1</v>
      </c>
      <c r="Z173" s="76">
        <v>0.1</v>
      </c>
      <c r="AA173" s="76">
        <v>0.1</v>
      </c>
      <c r="AB173" s="76">
        <v>0.1</v>
      </c>
    </row>
    <row r="174" spans="2:28">
      <c r="B174" s="18" t="s">
        <v>148</v>
      </c>
      <c r="C174" s="18"/>
      <c r="D174" s="18"/>
      <c r="E174" s="18"/>
      <c r="F174" s="18"/>
      <c r="G174" s="18"/>
      <c r="H174" s="18"/>
      <c r="I174" s="18"/>
      <c r="J174" s="18"/>
      <c r="K174" s="64">
        <f>17191+31675</f>
        <v>48866</v>
      </c>
      <c r="L174" s="64">
        <f>17191+24965</f>
        <v>42156</v>
      </c>
      <c r="M174" s="88">
        <f>SUM(Interims!S105:V105)</f>
        <v>51943</v>
      </c>
      <c r="N174" s="88">
        <f>SUM(Interims!W105:Z105)</f>
        <v>58522</v>
      </c>
      <c r="O174" s="88">
        <v>47702</v>
      </c>
      <c r="P174" s="88">
        <v>51068</v>
      </c>
      <c r="Q174" s="88">
        <v>20815</v>
      </c>
      <c r="R174" s="88">
        <f>SUM(Interims!AM105:AP105)</f>
        <v>23844</v>
      </c>
      <c r="S174" s="88">
        <f>SUM(Interims!AQ105:AT105)</f>
        <v>25103</v>
      </c>
      <c r="T174" s="88">
        <f>SUM(Interims!AU105:AX105)</f>
        <v>23982</v>
      </c>
      <c r="U174" s="94">
        <f t="shared" ref="U174:AB174" si="259">(1+U175)*T174</f>
        <v>23982</v>
      </c>
      <c r="V174" s="94">
        <f t="shared" si="259"/>
        <v>23982</v>
      </c>
      <c r="W174" s="94">
        <f t="shared" si="259"/>
        <v>23982</v>
      </c>
      <c r="X174" s="94">
        <f t="shared" si="259"/>
        <v>23982</v>
      </c>
      <c r="Y174" s="94">
        <f t="shared" si="259"/>
        <v>23982</v>
      </c>
      <c r="Z174" s="94">
        <f t="shared" si="259"/>
        <v>23982</v>
      </c>
      <c r="AA174" s="94">
        <f t="shared" si="259"/>
        <v>23982</v>
      </c>
      <c r="AB174" s="94">
        <f t="shared" si="259"/>
        <v>23982</v>
      </c>
    </row>
    <row r="175" spans="2:28">
      <c r="B175" s="3" t="s">
        <v>63</v>
      </c>
      <c r="C175" s="3"/>
      <c r="D175" s="3"/>
      <c r="E175" s="3"/>
      <c r="F175" s="3"/>
      <c r="G175" s="3"/>
      <c r="H175" s="3"/>
      <c r="I175" s="3"/>
      <c r="J175" s="3"/>
      <c r="K175" s="3"/>
      <c r="L175" s="5">
        <f t="shared" ref="L175:T175" si="260">L174/K174-1</f>
        <v>-0.13731428805304302</v>
      </c>
      <c r="M175" s="5">
        <f t="shared" si="260"/>
        <v>0.23216149539804531</v>
      </c>
      <c r="N175" s="5">
        <f t="shared" si="260"/>
        <v>0.1266580674970641</v>
      </c>
      <c r="O175" s="5">
        <f t="shared" si="260"/>
        <v>-0.18488773452718632</v>
      </c>
      <c r="P175" s="5">
        <f t="shared" si="260"/>
        <v>7.0563079116179539E-2</v>
      </c>
      <c r="Q175" s="5">
        <f t="shared" si="260"/>
        <v>-0.59240620349338136</v>
      </c>
      <c r="R175" s="5">
        <f t="shared" si="260"/>
        <v>0.14552005765073273</v>
      </c>
      <c r="S175" s="5">
        <f t="shared" si="260"/>
        <v>5.2801543365207149E-2</v>
      </c>
      <c r="T175" s="5">
        <f t="shared" si="260"/>
        <v>-4.4656017209098509E-2</v>
      </c>
      <c r="U175" s="76">
        <v>0</v>
      </c>
      <c r="V175" s="76">
        <v>0</v>
      </c>
      <c r="W175" s="76">
        <v>0</v>
      </c>
      <c r="X175" s="76">
        <v>0</v>
      </c>
      <c r="Y175" s="76">
        <v>0</v>
      </c>
      <c r="Z175" s="76">
        <v>0</v>
      </c>
      <c r="AA175" s="76">
        <v>0</v>
      </c>
      <c r="AB175" s="76">
        <v>0</v>
      </c>
    </row>
    <row r="176" spans="2:28">
      <c r="B176" s="304" t="s">
        <v>924</v>
      </c>
      <c r="C176" s="3"/>
      <c r="D176" s="3"/>
      <c r="E176" s="3"/>
      <c r="F176" s="3"/>
      <c r="G176" s="3"/>
      <c r="H176" s="3"/>
      <c r="I176" s="3"/>
      <c r="J176" s="3"/>
      <c r="K176" s="3"/>
      <c r="L176" s="338">
        <f>(L168+L170)/(K168+K170)-1</f>
        <v>-3.8001545736779385E-2</v>
      </c>
      <c r="M176" s="338">
        <f t="shared" ref="M176:AB176" si="261">(M168+M170)/(L168+L170)-1</f>
        <v>-1.4216073422478881E-2</v>
      </c>
      <c r="N176" s="338">
        <f t="shared" si="261"/>
        <v>2.5969002956045983E-2</v>
      </c>
      <c r="O176" s="338">
        <f t="shared" si="261"/>
        <v>1.2292323020168583E-2</v>
      </c>
      <c r="P176" s="338">
        <f t="shared" si="261"/>
        <v>3.116230199369574E-2</v>
      </c>
      <c r="Q176" s="338">
        <f t="shared" si="261"/>
        <v>3.1523281310460449E-2</v>
      </c>
      <c r="R176" s="338">
        <f t="shared" si="261"/>
        <v>-5.3767474429189388E-4</v>
      </c>
      <c r="S176" s="338">
        <f t="shared" si="261"/>
        <v>-0.1291113585467466</v>
      </c>
      <c r="T176" s="338">
        <f t="shared" si="261"/>
        <v>-9.053166884544106E-2</v>
      </c>
      <c r="U176" s="338">
        <f t="shared" ca="1" si="261"/>
        <v>1.275390386763231E-2</v>
      </c>
      <c r="V176" s="338">
        <f t="shared" ca="1" si="261"/>
        <v>3.6925315050514884E-2</v>
      </c>
      <c r="W176" s="338">
        <f t="shared" ca="1" si="261"/>
        <v>4.0038336901821348E-2</v>
      </c>
      <c r="X176" s="338">
        <f t="shared" ca="1" si="261"/>
        <v>4.2793444255892599E-2</v>
      </c>
      <c r="Y176" s="338">
        <f t="shared" ca="1" si="261"/>
        <v>4.521806640377557E-2</v>
      </c>
      <c r="Z176" s="338">
        <f t="shared" ca="1" si="261"/>
        <v>4.7341271999895795E-2</v>
      </c>
      <c r="AA176" s="338">
        <f t="shared" ca="1" si="261"/>
        <v>4.9192458211372081E-2</v>
      </c>
      <c r="AB176" s="338">
        <f t="shared" ca="1" si="261"/>
        <v>5.0800361454070853E-2</v>
      </c>
    </row>
    <row r="177" spans="2:28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2:28">
      <c r="B178" s="95" t="s">
        <v>918</v>
      </c>
      <c r="C178" s="3"/>
      <c r="D178" s="3"/>
      <c r="E178" s="3"/>
      <c r="F178" s="3"/>
      <c r="G178" s="3"/>
      <c r="H178" s="3"/>
      <c r="I178" s="3"/>
      <c r="J178" s="3"/>
      <c r="K178" s="3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2:28">
      <c r="B179" s="3" t="s">
        <v>919</v>
      </c>
      <c r="C179" s="3"/>
      <c r="D179" s="3"/>
      <c r="E179" s="3"/>
      <c r="F179" s="3"/>
      <c r="G179" s="3"/>
      <c r="H179" s="3"/>
      <c r="I179" s="3"/>
      <c r="J179" s="3"/>
      <c r="K179" s="3"/>
      <c r="L179" s="5"/>
      <c r="M179" s="5"/>
      <c r="N179" s="81">
        <v>30</v>
      </c>
      <c r="O179" s="81">
        <v>206</v>
      </c>
      <c r="P179" s="81">
        <v>276</v>
      </c>
      <c r="Q179" s="81">
        <v>372</v>
      </c>
      <c r="R179" s="81">
        <v>455</v>
      </c>
      <c r="S179" s="79">
        <f t="shared" ref="S179:AB179" si="262">R179+S180</f>
        <v>555</v>
      </c>
      <c r="T179" s="79">
        <f t="shared" si="262"/>
        <v>655</v>
      </c>
      <c r="U179" s="79">
        <f t="shared" si="262"/>
        <v>755</v>
      </c>
      <c r="V179" s="79">
        <f t="shared" si="262"/>
        <v>855</v>
      </c>
      <c r="W179" s="79">
        <f t="shared" si="262"/>
        <v>955</v>
      </c>
      <c r="X179" s="79">
        <f t="shared" si="262"/>
        <v>1055</v>
      </c>
      <c r="Y179" s="79">
        <f t="shared" si="262"/>
        <v>1155</v>
      </c>
      <c r="Z179" s="79">
        <f t="shared" si="262"/>
        <v>1255</v>
      </c>
      <c r="AA179" s="79">
        <f t="shared" si="262"/>
        <v>1355</v>
      </c>
      <c r="AB179" s="79">
        <f t="shared" si="262"/>
        <v>1455</v>
      </c>
    </row>
    <row r="180" spans="2:28">
      <c r="B180" s="3" t="s">
        <v>922</v>
      </c>
      <c r="C180" s="3"/>
      <c r="D180" s="3"/>
      <c r="E180" s="3"/>
      <c r="F180" s="3"/>
      <c r="G180" s="3"/>
      <c r="H180" s="3"/>
      <c r="I180" s="3"/>
      <c r="J180" s="3"/>
      <c r="K180" s="3"/>
      <c r="L180" s="5"/>
      <c r="M180" s="5"/>
      <c r="N180" s="5"/>
      <c r="O180" s="79">
        <f>O179-N179</f>
        <v>176</v>
      </c>
      <c r="P180" s="79">
        <f>P179-O179</f>
        <v>70</v>
      </c>
      <c r="Q180" s="79">
        <f>Q179-P179</f>
        <v>96</v>
      </c>
      <c r="R180" s="79">
        <f>R179-Q179</f>
        <v>83</v>
      </c>
      <c r="S180" s="81">
        <v>100</v>
      </c>
      <c r="T180" s="81">
        <v>100</v>
      </c>
      <c r="U180" s="81">
        <v>100</v>
      </c>
      <c r="V180" s="81">
        <v>100</v>
      </c>
      <c r="W180" s="81">
        <v>100</v>
      </c>
      <c r="X180" s="81">
        <v>100</v>
      </c>
      <c r="Y180" s="81">
        <v>100</v>
      </c>
      <c r="Z180" s="81">
        <v>100</v>
      </c>
      <c r="AA180" s="81">
        <v>100</v>
      </c>
      <c r="AB180" s="81">
        <v>100</v>
      </c>
    </row>
    <row r="181" spans="2:28">
      <c r="B181" s="4" t="s">
        <v>920</v>
      </c>
      <c r="C181" s="3"/>
      <c r="D181" s="3"/>
      <c r="E181" s="3"/>
      <c r="F181" s="3"/>
      <c r="G181" s="3"/>
      <c r="H181" s="3"/>
      <c r="I181" s="3"/>
      <c r="J181" s="3"/>
      <c r="K181" s="3"/>
      <c r="L181" s="5"/>
      <c r="M181" s="5"/>
      <c r="N181" s="5"/>
      <c r="O181" s="79">
        <f>O179-O183-O182</f>
        <v>101</v>
      </c>
      <c r="P181" s="79">
        <f t="shared" ref="P181:V181" si="263">P179-P183-P182</f>
        <v>116</v>
      </c>
      <c r="Q181" s="79">
        <f t="shared" si="263"/>
        <v>107</v>
      </c>
      <c r="R181" s="79">
        <f t="shared" si="263"/>
        <v>110</v>
      </c>
      <c r="S181" s="79">
        <f t="shared" si="263"/>
        <v>155</v>
      </c>
      <c r="T181" s="79">
        <f t="shared" si="263"/>
        <v>200</v>
      </c>
      <c r="U181" s="79">
        <f t="shared" si="263"/>
        <v>245</v>
      </c>
      <c r="V181" s="79">
        <f t="shared" si="263"/>
        <v>290</v>
      </c>
      <c r="W181" s="79">
        <f t="shared" ref="W181:AA181" si="264">W179-W183-W182</f>
        <v>335</v>
      </c>
      <c r="X181" s="79">
        <f t="shared" si="264"/>
        <v>380</v>
      </c>
      <c r="Y181" s="79">
        <f t="shared" si="264"/>
        <v>425</v>
      </c>
      <c r="Z181" s="79">
        <f t="shared" si="264"/>
        <v>470</v>
      </c>
      <c r="AA181" s="79">
        <f t="shared" si="264"/>
        <v>515</v>
      </c>
      <c r="AB181" s="79">
        <f t="shared" ref="AB181" si="265">AB179-AB183-AB182</f>
        <v>560</v>
      </c>
    </row>
    <row r="182" spans="2:28">
      <c r="B182" s="4" t="s">
        <v>926</v>
      </c>
      <c r="C182" s="3"/>
      <c r="D182" s="3"/>
      <c r="E182" s="3"/>
      <c r="F182" s="3"/>
      <c r="G182" s="3"/>
      <c r="H182" s="3"/>
      <c r="I182" s="3"/>
      <c r="J182" s="3"/>
      <c r="K182" s="3"/>
      <c r="L182" s="5"/>
      <c r="M182" s="5"/>
      <c r="N182" s="5"/>
      <c r="O182" s="81">
        <v>30</v>
      </c>
      <c r="P182" s="81">
        <f>O182+5</f>
        <v>35</v>
      </c>
      <c r="Q182" s="81">
        <f t="shared" ref="Q182:AB182" si="266">P182+5</f>
        <v>40</v>
      </c>
      <c r="R182" s="81">
        <f t="shared" si="266"/>
        <v>45</v>
      </c>
      <c r="S182" s="81">
        <f t="shared" si="266"/>
        <v>50</v>
      </c>
      <c r="T182" s="81">
        <f t="shared" si="266"/>
        <v>55</v>
      </c>
      <c r="U182" s="81">
        <f t="shared" si="266"/>
        <v>60</v>
      </c>
      <c r="V182" s="81">
        <f t="shared" si="266"/>
        <v>65</v>
      </c>
      <c r="W182" s="81">
        <f t="shared" si="266"/>
        <v>70</v>
      </c>
      <c r="X182" s="81">
        <f t="shared" si="266"/>
        <v>75</v>
      </c>
      <c r="Y182" s="81">
        <f t="shared" si="266"/>
        <v>80</v>
      </c>
      <c r="Z182" s="81">
        <f t="shared" si="266"/>
        <v>85</v>
      </c>
      <c r="AA182" s="81">
        <f t="shared" si="266"/>
        <v>90</v>
      </c>
      <c r="AB182" s="81">
        <f t="shared" si="266"/>
        <v>95</v>
      </c>
    </row>
    <row r="183" spans="2:28">
      <c r="B183" s="4" t="s">
        <v>921</v>
      </c>
      <c r="C183" s="3"/>
      <c r="D183" s="3"/>
      <c r="E183" s="3"/>
      <c r="F183" s="3"/>
      <c r="G183" s="3"/>
      <c r="H183" s="3"/>
      <c r="I183" s="3"/>
      <c r="J183" s="3"/>
      <c r="K183" s="81">
        <v>0</v>
      </c>
      <c r="L183" s="81">
        <v>0</v>
      </c>
      <c r="M183" s="81">
        <v>0</v>
      </c>
      <c r="N183" s="81">
        <v>0</v>
      </c>
      <c r="O183" s="81">
        <v>75</v>
      </c>
      <c r="P183" s="79">
        <f>O183+P185</f>
        <v>125</v>
      </c>
      <c r="Q183" s="79">
        <f t="shared" ref="Q183:AB183" si="267">P183+Q185</f>
        <v>225</v>
      </c>
      <c r="R183" s="79">
        <f t="shared" si="267"/>
        <v>300</v>
      </c>
      <c r="S183" s="79">
        <f t="shared" si="267"/>
        <v>350</v>
      </c>
      <c r="T183" s="79">
        <f t="shared" si="267"/>
        <v>400</v>
      </c>
      <c r="U183" s="79">
        <f t="shared" si="267"/>
        <v>450</v>
      </c>
      <c r="V183" s="79">
        <f t="shared" si="267"/>
        <v>500</v>
      </c>
      <c r="W183" s="79">
        <f t="shared" si="267"/>
        <v>550</v>
      </c>
      <c r="X183" s="79">
        <f t="shared" si="267"/>
        <v>600</v>
      </c>
      <c r="Y183" s="79">
        <f t="shared" si="267"/>
        <v>650</v>
      </c>
      <c r="Z183" s="79">
        <f t="shared" si="267"/>
        <v>700</v>
      </c>
      <c r="AA183" s="79">
        <f t="shared" si="267"/>
        <v>750</v>
      </c>
      <c r="AB183" s="79">
        <f t="shared" si="267"/>
        <v>800</v>
      </c>
    </row>
    <row r="184" spans="2:28">
      <c r="B184" s="4" t="s">
        <v>927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5">
        <f t="shared" ref="O184:V184" si="268">O183/O179</f>
        <v>0.36407766990291263</v>
      </c>
      <c r="P184" s="5">
        <f t="shared" si="268"/>
        <v>0.45289855072463769</v>
      </c>
      <c r="Q184" s="5">
        <f t="shared" si="268"/>
        <v>0.60483870967741937</v>
      </c>
      <c r="R184" s="5">
        <f t="shared" si="268"/>
        <v>0.65934065934065933</v>
      </c>
      <c r="S184" s="5">
        <f t="shared" si="268"/>
        <v>0.63063063063063063</v>
      </c>
      <c r="T184" s="5">
        <f t="shared" si="268"/>
        <v>0.61068702290076338</v>
      </c>
      <c r="U184" s="5">
        <f t="shared" si="268"/>
        <v>0.59602649006622521</v>
      </c>
      <c r="V184" s="5">
        <f t="shared" si="268"/>
        <v>0.58479532163742687</v>
      </c>
      <c r="W184" s="5">
        <f t="shared" ref="W184:AA184" si="269">W183/W179</f>
        <v>0.5759162303664922</v>
      </c>
      <c r="X184" s="5">
        <f t="shared" si="269"/>
        <v>0.56872037914691942</v>
      </c>
      <c r="Y184" s="5">
        <f t="shared" si="269"/>
        <v>0.56277056277056281</v>
      </c>
      <c r="Z184" s="5">
        <f t="shared" si="269"/>
        <v>0.55776892430278879</v>
      </c>
      <c r="AA184" s="5">
        <f t="shared" si="269"/>
        <v>0.55350553505535061</v>
      </c>
      <c r="AB184" s="5">
        <f t="shared" ref="AB184" si="270">AB183/AB179</f>
        <v>0.54982817869415812</v>
      </c>
    </row>
    <row r="185" spans="2:28">
      <c r="B185" s="3" t="s">
        <v>923</v>
      </c>
      <c r="C185" s="3"/>
      <c r="D185" s="3"/>
      <c r="E185" s="3"/>
      <c r="F185" s="3"/>
      <c r="G185" s="3"/>
      <c r="H185" s="3"/>
      <c r="I185" s="3"/>
      <c r="J185" s="3"/>
      <c r="K185" s="3"/>
      <c r="L185" s="5"/>
      <c r="M185" s="5"/>
      <c r="N185" s="5"/>
      <c r="O185" s="79">
        <f>O183-N183</f>
        <v>75</v>
      </c>
      <c r="P185" s="81">
        <v>50</v>
      </c>
      <c r="Q185" s="81">
        <v>100</v>
      </c>
      <c r="R185" s="81">
        <v>75</v>
      </c>
      <c r="S185" s="81">
        <v>50</v>
      </c>
      <c r="T185" s="81">
        <v>50</v>
      </c>
      <c r="U185" s="81">
        <v>50</v>
      </c>
      <c r="V185" s="81">
        <v>50</v>
      </c>
      <c r="W185" s="81">
        <v>50</v>
      </c>
      <c r="X185" s="81">
        <v>50</v>
      </c>
      <c r="Y185" s="81">
        <v>50</v>
      </c>
      <c r="Z185" s="81">
        <v>50</v>
      </c>
      <c r="AA185" s="81">
        <v>50</v>
      </c>
      <c r="AB185" s="81">
        <v>50</v>
      </c>
    </row>
    <row r="186" spans="2:28">
      <c r="B186" s="3" t="s">
        <v>917</v>
      </c>
      <c r="C186" s="3"/>
      <c r="D186" s="3"/>
      <c r="E186" s="3"/>
      <c r="F186" s="3"/>
      <c r="G186" s="3"/>
      <c r="H186" s="3"/>
      <c r="I186" s="3"/>
      <c r="J186" s="3"/>
      <c r="K186" s="3"/>
      <c r="L186" s="5"/>
      <c r="M186" s="5"/>
      <c r="N186" s="5"/>
      <c r="O186" s="81">
        <f>20000*0.81*1.15</f>
        <v>18630</v>
      </c>
      <c r="P186" s="79">
        <f>P188/AVERAGE(O179,P179)/12*1000</f>
        <v>6230.6362378976492</v>
      </c>
      <c r="Q186" s="79">
        <f>Q188/AVERAGE(P179,Q179)/12*1000</f>
        <v>5765.9465020576126</v>
      </c>
      <c r="R186" s="79">
        <f>R188/AVERAGE(Q179,R179)/12*1000</f>
        <v>5587.2632003224498</v>
      </c>
      <c r="S186" s="79">
        <f>S188/AVERAGE(R179,S179)/12*1000</f>
        <v>4982.0132013201319</v>
      </c>
      <c r="T186" s="79">
        <f t="shared" ref="T186:AB186" ca="1" si="271">(1+T187)*S186</f>
        <v>4442.3279606186516</v>
      </c>
      <c r="U186" s="79">
        <f t="shared" ca="1" si="271"/>
        <v>4664.4443586495845</v>
      </c>
      <c r="V186" s="79">
        <f t="shared" ca="1" si="271"/>
        <v>4897.6665765820635</v>
      </c>
      <c r="W186" s="79">
        <f t="shared" ca="1" si="271"/>
        <v>5142.5499054111669</v>
      </c>
      <c r="X186" s="79">
        <f t="shared" ca="1" si="271"/>
        <v>5399.6774006817259</v>
      </c>
      <c r="Y186" s="79">
        <f t="shared" ca="1" si="271"/>
        <v>5669.6612707158129</v>
      </c>
      <c r="Z186" s="79">
        <f t="shared" ca="1" si="271"/>
        <v>5953.1443342516041</v>
      </c>
      <c r="AA186" s="79">
        <f t="shared" ca="1" si="271"/>
        <v>6250.8015509641846</v>
      </c>
      <c r="AB186" s="79">
        <f t="shared" ca="1" si="271"/>
        <v>6563.341628512394</v>
      </c>
    </row>
    <row r="187" spans="2:28">
      <c r="B187" s="3" t="s">
        <v>63</v>
      </c>
      <c r="C187" s="3"/>
      <c r="D187" s="3"/>
      <c r="E187" s="3"/>
      <c r="F187" s="3"/>
      <c r="G187" s="3"/>
      <c r="H187" s="3"/>
      <c r="I187" s="3"/>
      <c r="J187" s="3"/>
      <c r="K187" s="3"/>
      <c r="L187" s="5"/>
      <c r="M187" s="5"/>
      <c r="N187" s="5"/>
      <c r="O187" s="5"/>
      <c r="P187" s="5">
        <f>P186/O186-1</f>
        <v>-0.66555897810533282</v>
      </c>
      <c r="Q187" s="5">
        <f>Q186/P186-1</f>
        <v>-7.4581426053020983E-2</v>
      </c>
      <c r="R187" s="5">
        <f>R186/Q186-1</f>
        <v>-3.0989413736564941E-2</v>
      </c>
      <c r="S187" s="5">
        <f>S186/R186-1</f>
        <v>-0.10832673838729989</v>
      </c>
      <c r="T187" s="5">
        <f ca="1">T186/S186-1</f>
        <v>-0.10832673838729989</v>
      </c>
      <c r="U187" s="76">
        <v>0.05</v>
      </c>
      <c r="V187" s="76">
        <v>0.05</v>
      </c>
      <c r="W187" s="76">
        <v>0.05</v>
      </c>
      <c r="X187" s="76">
        <v>0.05</v>
      </c>
      <c r="Y187" s="76">
        <v>0.05</v>
      </c>
      <c r="Z187" s="76">
        <v>0.05</v>
      </c>
      <c r="AA187" s="76">
        <v>0.05</v>
      </c>
      <c r="AB187" s="76">
        <v>0.05</v>
      </c>
    </row>
    <row r="188" spans="2:28">
      <c r="B188" s="18" t="s">
        <v>130</v>
      </c>
      <c r="C188" s="18"/>
      <c r="D188" s="18"/>
      <c r="E188" s="18"/>
      <c r="F188" s="18"/>
      <c r="G188" s="18"/>
      <c r="H188" s="18"/>
      <c r="I188" s="18"/>
      <c r="J188" s="18"/>
      <c r="K188" s="64">
        <v>0</v>
      </c>
      <c r="L188" s="64">
        <v>0</v>
      </c>
      <c r="M188" s="88">
        <v>0</v>
      </c>
      <c r="N188" s="88">
        <v>0</v>
      </c>
      <c r="O188" s="88">
        <f>SUM(Interims!AA104:AD104)</f>
        <v>8336</v>
      </c>
      <c r="P188" s="88">
        <f>SUM(Interims!AE104:AH104)</f>
        <v>18019</v>
      </c>
      <c r="Q188" s="88">
        <v>22418</v>
      </c>
      <c r="R188" s="88">
        <f>SUM(Interims!AM104:AP104)</f>
        <v>27724</v>
      </c>
      <c r="S188" s="88">
        <f>SUM(Interims!AQ104:AT104)</f>
        <v>30191</v>
      </c>
      <c r="T188" s="88">
        <f>SUM(Interims!AU104:AX104)</f>
        <v>36520</v>
      </c>
      <c r="U188" s="94">
        <f t="shared" ref="U188:AB188" ca="1" si="272">AVERAGE(T179,U179)*U186*12/1000</f>
        <v>39461.19927417548</v>
      </c>
      <c r="V188" s="94">
        <f t="shared" ca="1" si="272"/>
        <v>47311.459129782728</v>
      </c>
      <c r="W188" s="94">
        <f t="shared" ca="1" si="272"/>
        <v>55848.09197276528</v>
      </c>
      <c r="X188" s="94">
        <f t="shared" ca="1" si="272"/>
        <v>65120.109452221615</v>
      </c>
      <c r="Y188" s="94">
        <f t="shared" ca="1" si="272"/>
        <v>75179.70844969168</v>
      </c>
      <c r="Z188" s="94">
        <f t="shared" ca="1" si="272"/>
        <v>86082.467073278211</v>
      </c>
      <c r="AA188" s="94">
        <f t="shared" ca="1" si="272"/>
        <v>97887.552288099134</v>
      </c>
      <c r="AB188" s="94">
        <f t="shared" ca="1" si="272"/>
        <v>110657.93985671896</v>
      </c>
    </row>
    <row r="189" spans="2:28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5"/>
      <c r="M189" s="5"/>
      <c r="N189" s="5"/>
      <c r="O189" s="5"/>
      <c r="P189" s="5">
        <f>P188/O188-1</f>
        <v>1.1615882917466411</v>
      </c>
      <c r="Q189" s="5">
        <f t="shared" ref="Q189:AB189" si="273">Q188/P188-1</f>
        <v>0.24413119484988077</v>
      </c>
      <c r="R189" s="5">
        <f t="shared" si="273"/>
        <v>0.23668480685163718</v>
      </c>
      <c r="S189" s="5">
        <f t="shared" si="273"/>
        <v>8.8984273553599724E-2</v>
      </c>
      <c r="T189" s="5">
        <f t="shared" si="273"/>
        <v>0.20963200953926675</v>
      </c>
      <c r="U189" s="5">
        <f t="shared" ca="1" si="273"/>
        <v>8.053667234872619E-2</v>
      </c>
      <c r="V189" s="5">
        <f t="shared" ca="1" si="273"/>
        <v>0.19893617021276588</v>
      </c>
      <c r="W189" s="5">
        <f t="shared" ca="1" si="273"/>
        <v>0.18043478260869605</v>
      </c>
      <c r="X189" s="5">
        <f t="shared" ca="1" si="273"/>
        <v>0.16602209944751389</v>
      </c>
      <c r="Y189" s="5">
        <f t="shared" ca="1" si="273"/>
        <v>0.15447761194029863</v>
      </c>
      <c r="Z189" s="5">
        <f t="shared" ca="1" si="273"/>
        <v>0.14502262443438951</v>
      </c>
      <c r="AA189" s="5">
        <f t="shared" ca="1" si="273"/>
        <v>0.13713692946058087</v>
      </c>
      <c r="AB189" s="5">
        <f t="shared" ca="1" si="273"/>
        <v>0.13045977011494259</v>
      </c>
    </row>
    <row r="190" spans="2:28">
      <c r="B190" s="18" t="s">
        <v>163</v>
      </c>
      <c r="C190" s="18"/>
      <c r="D190" s="18"/>
      <c r="E190" s="18"/>
      <c r="F190" s="18"/>
      <c r="G190" s="18"/>
      <c r="H190" s="18"/>
      <c r="I190" s="18"/>
      <c r="J190" s="18"/>
      <c r="K190" s="93">
        <f>K156+K168+K170+K172+K174</f>
        <v>220497</v>
      </c>
      <c r="L190" s="93">
        <f>L156+L168+L170+L172+L174</f>
        <v>216569</v>
      </c>
      <c r="M190" s="93">
        <f>M156+M168+M170+M172+M174</f>
        <v>234626</v>
      </c>
      <c r="N190" s="93">
        <f>N156+N168+N170+N172+N174</f>
        <v>255379</v>
      </c>
      <c r="O190" s="93">
        <f t="shared" ref="O190:V190" si="274">O156+O168+O170+O172+O174+O188</f>
        <v>272515</v>
      </c>
      <c r="P190" s="93">
        <f t="shared" si="274"/>
        <v>307556</v>
      </c>
      <c r="Q190" s="93">
        <f t="shared" si="274"/>
        <v>302572</v>
      </c>
      <c r="R190" s="93">
        <f t="shared" si="274"/>
        <v>341861</v>
      </c>
      <c r="S190" s="93">
        <f t="shared" si="274"/>
        <v>357673</v>
      </c>
      <c r="T190" s="93">
        <f t="shared" si="274"/>
        <v>369604</v>
      </c>
      <c r="U190" s="93">
        <f t="shared" ca="1" si="274"/>
        <v>378289.23617413139</v>
      </c>
      <c r="V190" s="93">
        <f t="shared" ca="1" si="274"/>
        <v>393937.27566218603</v>
      </c>
      <c r="W190" s="93">
        <f t="shared" ref="W190:AA190" ca="1" si="275">W156+W168+W170+W172+W174+W188</f>
        <v>411109.10155537893</v>
      </c>
      <c r="X190" s="93">
        <f t="shared" ca="1" si="275"/>
        <v>429910.72329358343</v>
      </c>
      <c r="Y190" s="93">
        <f t="shared" ca="1" si="275"/>
        <v>450458.4403929559</v>
      </c>
      <c r="Z190" s="93">
        <f t="shared" ca="1" si="275"/>
        <v>472879.53162589989</v>
      </c>
      <c r="AA190" s="93">
        <f t="shared" ca="1" si="275"/>
        <v>497313.02223987953</v>
      </c>
      <c r="AB190" s="93">
        <f t="shared" ref="AB190" ca="1" si="276">AB156+AB168+AB170+AB172+AB174+AB188</f>
        <v>523910.53453950991</v>
      </c>
    </row>
    <row r="191" spans="2:28">
      <c r="B191" s="3" t="s">
        <v>63</v>
      </c>
      <c r="C191" s="3"/>
      <c r="D191" s="3"/>
      <c r="E191" s="3"/>
      <c r="F191" s="3"/>
      <c r="G191" s="3"/>
      <c r="H191" s="3"/>
      <c r="I191" s="3"/>
      <c r="J191" s="3"/>
      <c r="K191" s="87" t="s">
        <v>38</v>
      </c>
      <c r="L191" s="5">
        <f>L190/K190-1</f>
        <v>-1.7814301328362703E-2</v>
      </c>
      <c r="M191" s="5">
        <f t="shared" ref="M191:AB191" si="277">M190/L190-1</f>
        <v>8.3377584049425302E-2</v>
      </c>
      <c r="N191" s="5">
        <f t="shared" si="277"/>
        <v>8.8451407772369706E-2</v>
      </c>
      <c r="O191" s="5">
        <f t="shared" si="277"/>
        <v>6.7100270578238641E-2</v>
      </c>
      <c r="P191" s="5">
        <f t="shared" si="277"/>
        <v>0.1285837476836138</v>
      </c>
      <c r="Q191" s="5">
        <f t="shared" si="277"/>
        <v>-1.6205178894250105E-2</v>
      </c>
      <c r="R191" s="5">
        <f t="shared" si="277"/>
        <v>0.1298500852689608</v>
      </c>
      <c r="S191" s="5">
        <f t="shared" si="277"/>
        <v>4.6252716747450018E-2</v>
      </c>
      <c r="T191" s="5">
        <f t="shared" si="277"/>
        <v>3.335728444696695E-2</v>
      </c>
      <c r="U191" s="5">
        <f t="shared" ca="1" si="277"/>
        <v>2.3498761307051419E-2</v>
      </c>
      <c r="V191" s="5">
        <f t="shared" ca="1" si="277"/>
        <v>4.1365278183203902E-2</v>
      </c>
      <c r="W191" s="5">
        <f t="shared" ca="1" si="277"/>
        <v>4.3590253967025649E-2</v>
      </c>
      <c r="X191" s="5">
        <f t="shared" ca="1" si="277"/>
        <v>4.5733898050592803E-2</v>
      </c>
      <c r="Y191" s="5">
        <f t="shared" ca="1" si="277"/>
        <v>4.7795311877672164E-2</v>
      </c>
      <c r="Z191" s="5">
        <f t="shared" ca="1" si="277"/>
        <v>4.9773939663301681E-2</v>
      </c>
      <c r="AA191" s="5">
        <f t="shared" ca="1" si="277"/>
        <v>5.16695880872029E-2</v>
      </c>
      <c r="AB191" s="5">
        <f t="shared" ca="1" si="277"/>
        <v>5.3482436835931235E-2</v>
      </c>
    </row>
    <row r="192" spans="2:28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2:28" outlineLevel="1">
      <c r="B193" s="95" t="s">
        <v>175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2:28" outlineLevel="1">
      <c r="B194" s="3" t="s">
        <v>165</v>
      </c>
      <c r="C194" s="3"/>
      <c r="D194" s="3"/>
      <c r="E194" s="3"/>
      <c r="F194" s="3"/>
      <c r="G194" s="3"/>
      <c r="H194" s="3"/>
      <c r="I194" s="3"/>
      <c r="J194" s="3"/>
      <c r="K194" s="30">
        <v>150453</v>
      </c>
      <c r="L194" s="30">
        <v>154123</v>
      </c>
      <c r="M194" s="79">
        <f t="shared" ref="M194:AB194" si="278">(1+M195)*L194</f>
        <v>167994.07</v>
      </c>
      <c r="N194" s="79">
        <f t="shared" si="278"/>
        <v>179753.65490000002</v>
      </c>
      <c r="O194" s="79">
        <f t="shared" si="278"/>
        <v>197729.02039000005</v>
      </c>
      <c r="P194" s="79">
        <f t="shared" si="278"/>
        <v>217501.92242900009</v>
      </c>
      <c r="Q194" s="79">
        <f t="shared" si="278"/>
        <v>239252.11467190011</v>
      </c>
      <c r="R194" s="79">
        <f t="shared" si="278"/>
        <v>260784.80499237115</v>
      </c>
      <c r="S194" s="79">
        <f t="shared" si="278"/>
        <v>281647.58939176088</v>
      </c>
      <c r="T194" s="79">
        <f t="shared" si="278"/>
        <v>304179.39654310176</v>
      </c>
      <c r="U194" s="79">
        <f t="shared" si="278"/>
        <v>328513.7482665499</v>
      </c>
      <c r="V194" s="79">
        <f t="shared" si="278"/>
        <v>354794.84812787391</v>
      </c>
      <c r="W194" s="79">
        <f t="shared" si="278"/>
        <v>383178.43597810384</v>
      </c>
      <c r="X194" s="79">
        <f t="shared" si="278"/>
        <v>413832.71085635218</v>
      </c>
      <c r="Y194" s="79">
        <f t="shared" si="278"/>
        <v>446939.3277248604</v>
      </c>
      <c r="Z194" s="79">
        <f t="shared" si="278"/>
        <v>482694.47394284926</v>
      </c>
      <c r="AA194" s="79">
        <f t="shared" si="278"/>
        <v>521310.03185827722</v>
      </c>
      <c r="AB194" s="79">
        <f t="shared" si="278"/>
        <v>563014.83440693945</v>
      </c>
    </row>
    <row r="195" spans="2:28" outlineLevel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5">
        <f>L194/K194-1</f>
        <v>2.4392999807248739E-2</v>
      </c>
      <c r="M195" s="76">
        <v>0.09</v>
      </c>
      <c r="N195" s="76">
        <v>7.0000000000000007E-2</v>
      </c>
      <c r="O195" s="76">
        <v>0.1</v>
      </c>
      <c r="P195" s="76">
        <v>0.1</v>
      </c>
      <c r="Q195" s="76">
        <v>0.1</v>
      </c>
      <c r="R195" s="76">
        <v>0.09</v>
      </c>
      <c r="S195" s="76">
        <v>0.08</v>
      </c>
      <c r="T195" s="76">
        <v>0.08</v>
      </c>
      <c r="U195" s="76">
        <v>0.08</v>
      </c>
      <c r="V195" s="76">
        <v>0.08</v>
      </c>
      <c r="W195" s="76">
        <v>0.08</v>
      </c>
      <c r="X195" s="76">
        <v>0.08</v>
      </c>
      <c r="Y195" s="76">
        <v>0.08</v>
      </c>
      <c r="Z195" s="76">
        <v>0.08</v>
      </c>
      <c r="AA195" s="76">
        <v>0.08</v>
      </c>
      <c r="AB195" s="76">
        <v>0.08</v>
      </c>
    </row>
    <row r="196" spans="2:28" outlineLevel="1">
      <c r="B196" s="3" t="s">
        <v>166</v>
      </c>
      <c r="C196" s="3"/>
      <c r="D196" s="3"/>
      <c r="E196" s="3"/>
      <c r="F196" s="3"/>
      <c r="G196" s="3"/>
      <c r="H196" s="3"/>
      <c r="I196" s="3"/>
      <c r="J196" s="3"/>
      <c r="K196" s="30">
        <v>105139</v>
      </c>
      <c r="L196" s="30">
        <v>114242</v>
      </c>
      <c r="M196" s="79">
        <f t="shared" ref="M196:AB196" si="279">(1+M197)*L196</f>
        <v>125666.20000000001</v>
      </c>
      <c r="N196" s="79">
        <f t="shared" si="279"/>
        <v>135719.49600000001</v>
      </c>
      <c r="O196" s="79">
        <f t="shared" si="279"/>
        <v>149291.44560000004</v>
      </c>
      <c r="P196" s="79">
        <f t="shared" si="279"/>
        <v>164220.59016000005</v>
      </c>
      <c r="Q196" s="79">
        <f t="shared" si="279"/>
        <v>180642.64917600006</v>
      </c>
      <c r="R196" s="79">
        <f t="shared" si="279"/>
        <v>196900.48760184008</v>
      </c>
      <c r="S196" s="79">
        <f t="shared" si="279"/>
        <v>212652.52660998731</v>
      </c>
      <c r="T196" s="79">
        <f t="shared" si="279"/>
        <v>229664.7287387863</v>
      </c>
      <c r="U196" s="79">
        <f t="shared" si="279"/>
        <v>248037.90703788924</v>
      </c>
      <c r="V196" s="79">
        <f t="shared" si="279"/>
        <v>267880.93960092042</v>
      </c>
      <c r="W196" s="79">
        <f t="shared" si="279"/>
        <v>289311.41476899409</v>
      </c>
      <c r="X196" s="79">
        <f t="shared" si="279"/>
        <v>312456.32795051363</v>
      </c>
      <c r="Y196" s="79">
        <f t="shared" si="279"/>
        <v>337452.83418655477</v>
      </c>
      <c r="Z196" s="79">
        <f t="shared" si="279"/>
        <v>364449.06092147919</v>
      </c>
      <c r="AA196" s="79">
        <f t="shared" si="279"/>
        <v>393604.98579519754</v>
      </c>
      <c r="AB196" s="79">
        <f t="shared" si="279"/>
        <v>425093.38465881336</v>
      </c>
    </row>
    <row r="197" spans="2:28" outlineLevel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5">
        <f>L196/K196-1</f>
        <v>8.6580621843464378E-2</v>
      </c>
      <c r="M197" s="76">
        <v>0.1</v>
      </c>
      <c r="N197" s="76">
        <v>0.08</v>
      </c>
      <c r="O197" s="76">
        <v>0.1</v>
      </c>
      <c r="P197" s="76">
        <v>0.1</v>
      </c>
      <c r="Q197" s="76">
        <v>0.1</v>
      </c>
      <c r="R197" s="76">
        <v>0.09</v>
      </c>
      <c r="S197" s="76">
        <v>0.08</v>
      </c>
      <c r="T197" s="76">
        <v>0.08</v>
      </c>
      <c r="U197" s="76">
        <v>0.08</v>
      </c>
      <c r="V197" s="76">
        <v>0.08</v>
      </c>
      <c r="W197" s="76">
        <v>0.08</v>
      </c>
      <c r="X197" s="76">
        <v>0.08</v>
      </c>
      <c r="Y197" s="76">
        <v>0.08</v>
      </c>
      <c r="Z197" s="76">
        <v>0.08</v>
      </c>
      <c r="AA197" s="76">
        <v>0.08</v>
      </c>
      <c r="AB197" s="76">
        <v>0.08</v>
      </c>
    </row>
    <row r="198" spans="2:28" outlineLevel="1">
      <c r="B198" s="3" t="s">
        <v>164</v>
      </c>
      <c r="C198" s="3"/>
      <c r="D198" s="3"/>
      <c r="E198" s="3"/>
      <c r="F198" s="3"/>
      <c r="G198" s="3"/>
      <c r="H198" s="3"/>
      <c r="I198" s="3"/>
      <c r="J198" s="3"/>
      <c r="K198" s="30">
        <v>23678</v>
      </c>
      <c r="L198" s="30">
        <v>21726</v>
      </c>
      <c r="M198" s="79">
        <f t="shared" ref="M198:AB198" si="280">(1+M199)*L198</f>
        <v>20639.7</v>
      </c>
      <c r="N198" s="79">
        <f t="shared" si="280"/>
        <v>19607.715</v>
      </c>
      <c r="O198" s="79">
        <f t="shared" si="280"/>
        <v>21568.486500000003</v>
      </c>
      <c r="P198" s="79">
        <f t="shared" si="280"/>
        <v>23725.335150000006</v>
      </c>
      <c r="Q198" s="79">
        <f t="shared" si="280"/>
        <v>26097.868665000009</v>
      </c>
      <c r="R198" s="79">
        <f t="shared" si="280"/>
        <v>28446.676844850012</v>
      </c>
      <c r="S198" s="79">
        <f t="shared" si="280"/>
        <v>30722.410992438014</v>
      </c>
      <c r="T198" s="79">
        <f t="shared" si="280"/>
        <v>33180.203871833059</v>
      </c>
      <c r="U198" s="79">
        <f t="shared" si="280"/>
        <v>35834.620181579703</v>
      </c>
      <c r="V198" s="79">
        <f t="shared" si="280"/>
        <v>38701.389796106079</v>
      </c>
      <c r="W198" s="79">
        <f t="shared" si="280"/>
        <v>41797.500979794568</v>
      </c>
      <c r="X198" s="79">
        <f t="shared" si="280"/>
        <v>45141.301058178135</v>
      </c>
      <c r="Y198" s="79">
        <f t="shared" si="280"/>
        <v>48752.605142832392</v>
      </c>
      <c r="Z198" s="79">
        <f t="shared" si="280"/>
        <v>52652.813554258988</v>
      </c>
      <c r="AA198" s="79">
        <f t="shared" si="280"/>
        <v>56865.038638599712</v>
      </c>
      <c r="AB198" s="79">
        <f t="shared" si="280"/>
        <v>61414.241729687696</v>
      </c>
    </row>
    <row r="199" spans="2:28" outlineLevel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5">
        <f>L198/K198-1</f>
        <v>-8.2439395219190859E-2</v>
      </c>
      <c r="M199" s="76">
        <v>-0.05</v>
      </c>
      <c r="N199" s="76">
        <v>-0.05</v>
      </c>
      <c r="O199" s="76">
        <v>0.1</v>
      </c>
      <c r="P199" s="76">
        <v>0.1</v>
      </c>
      <c r="Q199" s="76">
        <v>0.1</v>
      </c>
      <c r="R199" s="76">
        <v>0.09</v>
      </c>
      <c r="S199" s="76">
        <v>0.08</v>
      </c>
      <c r="T199" s="76">
        <v>0.08</v>
      </c>
      <c r="U199" s="76">
        <v>0.08</v>
      </c>
      <c r="V199" s="76">
        <v>0.08</v>
      </c>
      <c r="W199" s="76">
        <v>0.08</v>
      </c>
      <c r="X199" s="76">
        <v>0.08</v>
      </c>
      <c r="Y199" s="76">
        <v>0.08</v>
      </c>
      <c r="Z199" s="76">
        <v>0.08</v>
      </c>
      <c r="AA199" s="76">
        <v>0.08</v>
      </c>
      <c r="AB199" s="76">
        <v>0.08</v>
      </c>
    </row>
    <row r="200" spans="2:28" outlineLevel="1">
      <c r="B200" s="3" t="s">
        <v>20</v>
      </c>
      <c r="C200" s="3"/>
      <c r="D200" s="3"/>
      <c r="E200" s="3"/>
      <c r="F200" s="3"/>
      <c r="G200" s="3"/>
      <c r="H200" s="3"/>
      <c r="I200" s="3"/>
      <c r="J200" s="3"/>
      <c r="K200" s="30">
        <v>5520</v>
      </c>
      <c r="L200" s="30">
        <v>-300</v>
      </c>
      <c r="M200" s="30">
        <v>500</v>
      </c>
      <c r="N200" s="79">
        <f t="shared" ref="N200:AB200" si="281">(1+N201)*M200</f>
        <v>525</v>
      </c>
      <c r="O200" s="79">
        <f t="shared" si="281"/>
        <v>577.5</v>
      </c>
      <c r="P200" s="79">
        <f t="shared" si="281"/>
        <v>635.25</v>
      </c>
      <c r="Q200" s="79">
        <f t="shared" si="281"/>
        <v>698.77500000000009</v>
      </c>
      <c r="R200" s="79">
        <f t="shared" si="281"/>
        <v>761.66475000000014</v>
      </c>
      <c r="S200" s="79">
        <f t="shared" si="281"/>
        <v>822.59793000000025</v>
      </c>
      <c r="T200" s="79">
        <f t="shared" si="281"/>
        <v>888.40576440000029</v>
      </c>
      <c r="U200" s="79">
        <f t="shared" si="281"/>
        <v>959.47822555200037</v>
      </c>
      <c r="V200" s="79">
        <f t="shared" si="281"/>
        <v>1036.2364835961605</v>
      </c>
      <c r="W200" s="79">
        <f t="shared" si="281"/>
        <v>1119.1354022838534</v>
      </c>
      <c r="X200" s="79">
        <f t="shared" si="281"/>
        <v>1208.6662344665617</v>
      </c>
      <c r="Y200" s="79">
        <f t="shared" si="281"/>
        <v>1305.3595332238867</v>
      </c>
      <c r="Z200" s="79">
        <f t="shared" si="281"/>
        <v>1409.7882958817977</v>
      </c>
      <c r="AA200" s="79">
        <f t="shared" si="281"/>
        <v>1522.5713595523416</v>
      </c>
      <c r="AB200" s="79">
        <f t="shared" si="281"/>
        <v>1644.3770683165289</v>
      </c>
    </row>
    <row r="201" spans="2:28" outlineLevel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76">
        <v>0.05</v>
      </c>
      <c r="O201" s="76">
        <v>0.1</v>
      </c>
      <c r="P201" s="76">
        <v>0.1</v>
      </c>
      <c r="Q201" s="76">
        <v>0.1</v>
      </c>
      <c r="R201" s="76">
        <v>0.09</v>
      </c>
      <c r="S201" s="76">
        <v>0.08</v>
      </c>
      <c r="T201" s="76">
        <v>0.08</v>
      </c>
      <c r="U201" s="76">
        <v>0.08</v>
      </c>
      <c r="V201" s="76">
        <v>0.08</v>
      </c>
      <c r="W201" s="76">
        <v>0.08</v>
      </c>
      <c r="X201" s="76">
        <v>0.08</v>
      </c>
      <c r="Y201" s="76">
        <v>0.08</v>
      </c>
      <c r="Z201" s="76">
        <v>0.08</v>
      </c>
      <c r="AA201" s="76">
        <v>0.08</v>
      </c>
      <c r="AB201" s="76">
        <v>0.08</v>
      </c>
    </row>
    <row r="202" spans="2:28" outlineLevel="1">
      <c r="B202" s="3" t="s">
        <v>89</v>
      </c>
      <c r="C202" s="3"/>
      <c r="D202" s="3"/>
      <c r="E202" s="3"/>
      <c r="F202" s="3"/>
      <c r="G202" s="3"/>
      <c r="H202" s="3"/>
      <c r="I202" s="3"/>
      <c r="J202" s="3"/>
      <c r="K202" s="87">
        <f>K205-K190</f>
        <v>64293</v>
      </c>
      <c r="L202" s="87">
        <f>L205-L190</f>
        <v>73222</v>
      </c>
      <c r="M202" s="87">
        <f>M205-M190</f>
        <v>80173.97000000003</v>
      </c>
      <c r="N202" s="87">
        <f t="shared" ref="N202:T202" si="282">N205-N190</f>
        <v>80226.865900000033</v>
      </c>
      <c r="O202" s="87">
        <f t="shared" si="282"/>
        <v>96651.452490000054</v>
      </c>
      <c r="P202" s="87">
        <f t="shared" si="282"/>
        <v>98527.097739000164</v>
      </c>
      <c r="Q202" s="87">
        <f t="shared" si="282"/>
        <v>144119.40751290024</v>
      </c>
      <c r="R202" s="87">
        <f t="shared" si="282"/>
        <v>145032.63418906124</v>
      </c>
      <c r="S202" s="87">
        <f t="shared" si="282"/>
        <v>168172.12492418627</v>
      </c>
      <c r="T202" s="87">
        <f t="shared" si="282"/>
        <v>198308.73491812113</v>
      </c>
      <c r="U202" s="87">
        <f t="shared" ref="U202:AA202" ca="1" si="283">U205-U190</f>
        <v>235056.51753743947</v>
      </c>
      <c r="V202" s="87">
        <f t="shared" ca="1" si="283"/>
        <v>268476.13834631053</v>
      </c>
      <c r="W202" s="87">
        <f t="shared" ca="1" si="283"/>
        <v>304297.38557379745</v>
      </c>
      <c r="X202" s="87">
        <f t="shared" ca="1" si="283"/>
        <v>342728.28280592716</v>
      </c>
      <c r="Y202" s="87">
        <f t="shared" ca="1" si="283"/>
        <v>383991.68619451555</v>
      </c>
      <c r="Z202" s="87">
        <f t="shared" ca="1" si="283"/>
        <v>428326.6050885694</v>
      </c>
      <c r="AA202" s="87">
        <f t="shared" ca="1" si="283"/>
        <v>475989.6054117473</v>
      </c>
      <c r="AB202" s="87">
        <f t="shared" ref="AB202" ca="1" si="284">AB205-AB190</f>
        <v>527256.30332424713</v>
      </c>
    </row>
    <row r="203" spans="2:28" outlineLevel="1">
      <c r="B203" s="3" t="s">
        <v>170</v>
      </c>
      <c r="C203" s="3"/>
      <c r="D203" s="3"/>
      <c r="E203" s="3"/>
      <c r="F203" s="3"/>
      <c r="G203" s="3"/>
      <c r="H203" s="3"/>
      <c r="I203" s="3"/>
      <c r="J203" s="3"/>
      <c r="K203" s="8">
        <f>K202/K205</f>
        <v>0.22575582007795217</v>
      </c>
      <c r="L203" s="8">
        <f>L202/L205</f>
        <v>0.25267175309102075</v>
      </c>
      <c r="M203" s="8">
        <f>M202/M205</f>
        <v>0.25468226696463797</v>
      </c>
      <c r="N203" s="8">
        <f t="shared" ref="N203:T203" si="285">N202/N205</f>
        <v>0.23905084520753017</v>
      </c>
      <c r="O203" s="8">
        <f t="shared" si="285"/>
        <v>0.26180995547697589</v>
      </c>
      <c r="P203" s="8">
        <f t="shared" si="285"/>
        <v>0.24262792095406543</v>
      </c>
      <c r="Q203" s="8">
        <f t="shared" si="285"/>
        <v>0.32263751907683191</v>
      </c>
      <c r="R203" s="8">
        <f t="shared" si="285"/>
        <v>0.29787334235868224</v>
      </c>
      <c r="S203" s="8">
        <f t="shared" si="285"/>
        <v>0.31981303420552293</v>
      </c>
      <c r="T203" s="8">
        <f t="shared" si="285"/>
        <v>0.34918874454666404</v>
      </c>
      <c r="U203" s="8">
        <f t="shared" ref="U203:AA203" ca="1" si="286">U202/U205</f>
        <v>0.38323656129520717</v>
      </c>
      <c r="V203" s="8">
        <f t="shared" ca="1" si="286"/>
        <v>0.40529997229625375</v>
      </c>
      <c r="W203" s="8">
        <f t="shared" ca="1" si="286"/>
        <v>0.4253489324578244</v>
      </c>
      <c r="X203" s="8">
        <f t="shared" ca="1" si="286"/>
        <v>0.44358138807424657</v>
      </c>
      <c r="Y203" s="8">
        <f t="shared" ca="1" si="286"/>
        <v>0.46017332128029048</v>
      </c>
      <c r="Z203" s="8">
        <f t="shared" ca="1" si="286"/>
        <v>0.47528150068986585</v>
      </c>
      <c r="AA203" s="8">
        <f t="shared" ca="1" si="286"/>
        <v>0.48904584441553339</v>
      </c>
      <c r="AB203" s="8">
        <f t="shared" ref="AB203" ca="1" si="287">AB202/AB205</f>
        <v>0.50159145468836164</v>
      </c>
    </row>
    <row r="204" spans="2:28" outlineLevel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2:28" outlineLevel="1">
      <c r="B205" s="18" t="s">
        <v>167</v>
      </c>
      <c r="C205" s="18"/>
      <c r="D205" s="18"/>
      <c r="E205" s="18"/>
      <c r="F205" s="18"/>
      <c r="G205" s="18"/>
      <c r="H205" s="18"/>
      <c r="I205" s="18"/>
      <c r="J205" s="18"/>
      <c r="K205" s="93">
        <f>K194+K196+K198+K200</f>
        <v>284790</v>
      </c>
      <c r="L205" s="93">
        <f>L194+L196+L198+L200</f>
        <v>289791</v>
      </c>
      <c r="M205" s="93">
        <f>M194+M196+M198+M200</f>
        <v>314799.97000000003</v>
      </c>
      <c r="N205" s="93">
        <f t="shared" ref="N205:T205" si="288">N194+N196+N198+N200</f>
        <v>335605.86590000003</v>
      </c>
      <c r="O205" s="93">
        <f t="shared" si="288"/>
        <v>369166.45249000005</v>
      </c>
      <c r="P205" s="93">
        <f t="shared" si="288"/>
        <v>406083.09773900016</v>
      </c>
      <c r="Q205" s="93">
        <f t="shared" si="288"/>
        <v>446691.40751290024</v>
      </c>
      <c r="R205" s="93">
        <f t="shared" si="288"/>
        <v>486893.63418906124</v>
      </c>
      <c r="S205" s="93">
        <f t="shared" si="288"/>
        <v>525845.12492418627</v>
      </c>
      <c r="T205" s="93">
        <f t="shared" si="288"/>
        <v>567912.73491812113</v>
      </c>
      <c r="U205" s="93">
        <f t="shared" ref="U205:AA205" si="289">U194+U196+U198+U200</f>
        <v>613345.75371157087</v>
      </c>
      <c r="V205" s="93">
        <f t="shared" si="289"/>
        <v>662413.41400849656</v>
      </c>
      <c r="W205" s="93">
        <f t="shared" si="289"/>
        <v>715406.48712917638</v>
      </c>
      <c r="X205" s="93">
        <f t="shared" si="289"/>
        <v>772639.00609951059</v>
      </c>
      <c r="Y205" s="93">
        <f t="shared" si="289"/>
        <v>834450.12658747146</v>
      </c>
      <c r="Z205" s="93">
        <f t="shared" si="289"/>
        <v>901206.13671446929</v>
      </c>
      <c r="AA205" s="93">
        <f t="shared" si="289"/>
        <v>973302.62765162683</v>
      </c>
      <c r="AB205" s="93">
        <f t="shared" ref="AB205" si="290">AB194+AB196+AB198+AB200</f>
        <v>1051166.837863757</v>
      </c>
    </row>
    <row r="206" spans="2:28" outlineLevel="1">
      <c r="B206" s="3" t="s">
        <v>63</v>
      </c>
      <c r="C206" s="3"/>
      <c r="D206" s="3"/>
      <c r="E206" s="3"/>
      <c r="F206" s="3"/>
      <c r="G206" s="3"/>
      <c r="H206" s="3"/>
      <c r="I206" s="3"/>
      <c r="J206" s="3"/>
      <c r="K206" s="87"/>
      <c r="L206" s="5">
        <f t="shared" ref="L206:AB206" si="291">L205/K205-1</f>
        <v>1.7560307595070102E-2</v>
      </c>
      <c r="M206" s="5">
        <f t="shared" si="291"/>
        <v>8.6300023120110758E-2</v>
      </c>
      <c r="N206" s="5">
        <f t="shared" si="291"/>
        <v>6.6092432918592792E-2</v>
      </c>
      <c r="O206" s="5">
        <f t="shared" si="291"/>
        <v>0.10000000000000009</v>
      </c>
      <c r="P206" s="5">
        <f t="shared" si="291"/>
        <v>0.10000000000000031</v>
      </c>
      <c r="Q206" s="5">
        <f t="shared" si="291"/>
        <v>0.10000000000000009</v>
      </c>
      <c r="R206" s="5">
        <f t="shared" si="291"/>
        <v>8.9999999999999858E-2</v>
      </c>
      <c r="S206" s="5">
        <f t="shared" si="291"/>
        <v>8.0000000000000293E-2</v>
      </c>
      <c r="T206" s="5">
        <f t="shared" si="291"/>
        <v>7.9999999999999849E-2</v>
      </c>
      <c r="U206" s="5">
        <f t="shared" si="291"/>
        <v>8.0000000000000071E-2</v>
      </c>
      <c r="V206" s="5">
        <f t="shared" si="291"/>
        <v>8.0000000000000071E-2</v>
      </c>
      <c r="W206" s="5">
        <f t="shared" si="291"/>
        <v>8.0000000000000071E-2</v>
      </c>
      <c r="X206" s="5">
        <f t="shared" si="291"/>
        <v>8.0000000000000071E-2</v>
      </c>
      <c r="Y206" s="5">
        <f t="shared" si="291"/>
        <v>8.0000000000000071E-2</v>
      </c>
      <c r="Z206" s="5">
        <f t="shared" si="291"/>
        <v>8.0000000000000071E-2</v>
      </c>
      <c r="AA206" s="5">
        <f t="shared" si="291"/>
        <v>8.0000000000000071E-2</v>
      </c>
      <c r="AB206" s="5">
        <f t="shared" si="291"/>
        <v>8.0000000000000071E-2</v>
      </c>
    </row>
    <row r="207" spans="2:28" outlineLevel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2:28">
      <c r="B208" s="61" t="s">
        <v>4</v>
      </c>
      <c r="C208" s="61"/>
      <c r="D208" s="61"/>
      <c r="E208" s="61"/>
      <c r="F208" s="61"/>
      <c r="G208" s="61"/>
      <c r="H208" s="61"/>
      <c r="I208" s="61"/>
      <c r="J208" s="62"/>
      <c r="K208" s="78">
        <v>95537</v>
      </c>
      <c r="L208" s="78">
        <v>109188</v>
      </c>
      <c r="M208" s="78">
        <f>SUM(Interims!S109:V109)</f>
        <v>114301</v>
      </c>
      <c r="N208" s="78">
        <f>SUM(Interims!W109:Z109)</f>
        <v>117216</v>
      </c>
      <c r="O208" s="78">
        <f>SUM(Interims!AA109:AD109)</f>
        <v>124819</v>
      </c>
      <c r="P208" s="78">
        <f>SUM(Interims!AE109:AH109)</f>
        <v>44044</v>
      </c>
      <c r="Q208" s="78">
        <f>SUM(Interims!AI109:AL109)</f>
        <v>65926</v>
      </c>
      <c r="R208" s="78">
        <f>SUM(Interims!AM109:AP109)</f>
        <v>85884</v>
      </c>
      <c r="S208" s="78">
        <f>SUM(Interims!AQ109:AT109)</f>
        <v>90993</v>
      </c>
      <c r="T208" s="78">
        <f>SUM(Interims!AU109:AX109)</f>
        <v>97749</v>
      </c>
      <c r="U208" s="50">
        <f t="shared" ref="U208:AA208" ca="1" si="292">U209*U190</f>
        <v>98355.201405274172</v>
      </c>
      <c r="V208" s="50">
        <f t="shared" ca="1" si="292"/>
        <v>102423.69167216837</v>
      </c>
      <c r="W208" s="50">
        <f t="shared" ca="1" si="292"/>
        <v>106888.36640439852</v>
      </c>
      <c r="X208" s="50">
        <f t="shared" ca="1" si="292"/>
        <v>111776.7880563317</v>
      </c>
      <c r="Y208" s="50">
        <f t="shared" ca="1" si="292"/>
        <v>117119.19450216854</v>
      </c>
      <c r="Z208" s="50">
        <f t="shared" ca="1" si="292"/>
        <v>122948.67822273397</v>
      </c>
      <c r="AA208" s="50">
        <f t="shared" ca="1" si="292"/>
        <v>129301.38578236868</v>
      </c>
      <c r="AB208" s="50">
        <f t="shared" ref="AB208" ca="1" si="293">AB209*AB190</f>
        <v>136216.73898027258</v>
      </c>
    </row>
    <row r="209" spans="2:28">
      <c r="B209" s="3" t="s">
        <v>5</v>
      </c>
      <c r="C209" s="3"/>
      <c r="D209" s="3"/>
      <c r="E209" s="3"/>
      <c r="F209" s="3"/>
      <c r="G209" s="3"/>
      <c r="H209" s="3"/>
      <c r="I209" s="3"/>
      <c r="J209" s="5"/>
      <c r="K209" s="5">
        <f t="shared" ref="K209:T209" si="294">K208/K190</f>
        <v>0.43328027138691227</v>
      </c>
      <c r="L209" s="5">
        <f t="shared" si="294"/>
        <v>0.50417188055538886</v>
      </c>
      <c r="M209" s="5">
        <f t="shared" si="294"/>
        <v>0.48716254805520276</v>
      </c>
      <c r="N209" s="5">
        <f t="shared" si="294"/>
        <v>0.45898840546795155</v>
      </c>
      <c r="O209" s="5">
        <f t="shared" si="294"/>
        <v>0.45802616369741117</v>
      </c>
      <c r="P209" s="5">
        <f t="shared" si="294"/>
        <v>0.14320644045312073</v>
      </c>
      <c r="Q209" s="5">
        <f t="shared" si="294"/>
        <v>0.2178853297727483</v>
      </c>
      <c r="R209" s="5">
        <f t="shared" si="294"/>
        <v>0.25122491304945577</v>
      </c>
      <c r="S209" s="5">
        <f t="shared" si="294"/>
        <v>0.25440276453632227</v>
      </c>
      <c r="T209" s="5">
        <f t="shared" si="294"/>
        <v>0.26446954037293968</v>
      </c>
      <c r="U209" s="76">
        <v>0.26</v>
      </c>
      <c r="V209" s="76">
        <v>0.26</v>
      </c>
      <c r="W209" s="76">
        <v>0.26</v>
      </c>
      <c r="X209" s="76">
        <v>0.26</v>
      </c>
      <c r="Y209" s="76">
        <v>0.26</v>
      </c>
      <c r="Z209" s="76">
        <v>0.26</v>
      </c>
      <c r="AA209" s="76">
        <v>0.26</v>
      </c>
      <c r="AB209" s="76">
        <v>0.26</v>
      </c>
    </row>
    <row r="210" spans="2:28">
      <c r="B210" s="3"/>
      <c r="C210" s="3"/>
      <c r="D210" s="3"/>
      <c r="E210" s="3"/>
      <c r="F210" s="3"/>
      <c r="G210" s="3"/>
      <c r="H210" s="3"/>
      <c r="I210" s="3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2:28">
      <c r="B211" s="61" t="s">
        <v>137</v>
      </c>
      <c r="C211" s="61"/>
      <c r="D211" s="61"/>
      <c r="E211" s="61"/>
      <c r="F211" s="61"/>
      <c r="G211" s="169">
        <f>H211*0.8</f>
        <v>14450.491392000005</v>
      </c>
      <c r="H211" s="169">
        <f>I211*0.8</f>
        <v>18063.114240000006</v>
      </c>
      <c r="I211" s="169">
        <f>J211*0.8</f>
        <v>22578.892800000005</v>
      </c>
      <c r="J211" s="169">
        <f>K211*0.8</f>
        <v>28223.616000000005</v>
      </c>
      <c r="K211" s="50">
        <f>K212*K190</f>
        <v>35279.520000000004</v>
      </c>
      <c r="L211" s="50">
        <f>L212*L190</f>
        <v>61722.164999999994</v>
      </c>
      <c r="M211" s="50">
        <f>M212*M190</f>
        <v>70387.8</v>
      </c>
      <c r="N211" s="50">
        <f t="shared" ref="N211:T211" si="295">N212*N190</f>
        <v>89382.65</v>
      </c>
      <c r="O211" s="50">
        <f t="shared" si="295"/>
        <v>81754.5</v>
      </c>
      <c r="P211" s="50">
        <f t="shared" si="295"/>
        <v>92266.8</v>
      </c>
      <c r="Q211" s="50">
        <f t="shared" si="295"/>
        <v>90771.599999999991</v>
      </c>
      <c r="R211" s="50">
        <f t="shared" si="295"/>
        <v>88883.86</v>
      </c>
      <c r="S211" s="50">
        <f t="shared" si="295"/>
        <v>92994.98</v>
      </c>
      <c r="T211" s="50">
        <f t="shared" si="295"/>
        <v>96097.040000000008</v>
      </c>
      <c r="U211" s="50">
        <f t="shared" ref="U211:AA211" ca="1" si="296">U212*U190</f>
        <v>90789.416681791525</v>
      </c>
      <c r="V211" s="50">
        <f t="shared" ca="1" si="296"/>
        <v>90605.573402302791</v>
      </c>
      <c r="W211" s="50">
        <f t="shared" ca="1" si="296"/>
        <v>94555.093357737162</v>
      </c>
      <c r="X211" s="50">
        <f t="shared" ca="1" si="296"/>
        <v>98879.466357524187</v>
      </c>
      <c r="Y211" s="50">
        <f t="shared" ca="1" si="296"/>
        <v>103605.44129037987</v>
      </c>
      <c r="Z211" s="50">
        <f t="shared" ca="1" si="296"/>
        <v>104033.49695769798</v>
      </c>
      <c r="AA211" s="50">
        <f t="shared" ca="1" si="296"/>
        <v>99462.604447975915</v>
      </c>
      <c r="AB211" s="50">
        <f t="shared" ref="AB211" ca="1" si="297">AB212*AB190</f>
        <v>104782.10690790199</v>
      </c>
    </row>
    <row r="212" spans="2:28">
      <c r="B212" s="3" t="s">
        <v>85</v>
      </c>
      <c r="C212" s="3"/>
      <c r="D212" s="3"/>
      <c r="E212" s="3"/>
      <c r="F212" s="3"/>
      <c r="G212" s="3"/>
      <c r="H212" s="3"/>
      <c r="I212" s="5">
        <f>I252</f>
        <v>0.15816609408396773</v>
      </c>
      <c r="J212" s="5">
        <f>J252</f>
        <v>0.17987916325333164</v>
      </c>
      <c r="K212" s="97">
        <v>0.16</v>
      </c>
      <c r="L212" s="97">
        <v>0.28499999999999998</v>
      </c>
      <c r="M212" s="97">
        <v>0.3</v>
      </c>
      <c r="N212" s="97">
        <v>0.35</v>
      </c>
      <c r="O212" s="97">
        <v>0.3</v>
      </c>
      <c r="P212" s="97">
        <v>0.3</v>
      </c>
      <c r="Q212" s="97">
        <v>0.3</v>
      </c>
      <c r="R212" s="97">
        <v>0.26</v>
      </c>
      <c r="S212" s="97">
        <v>0.26</v>
      </c>
      <c r="T212" s="97">
        <v>0.26</v>
      </c>
      <c r="U212" s="97">
        <v>0.24</v>
      </c>
      <c r="V212" s="97">
        <v>0.23</v>
      </c>
      <c r="W212" s="97">
        <v>0.23</v>
      </c>
      <c r="X212" s="97">
        <v>0.23</v>
      </c>
      <c r="Y212" s="97">
        <v>0.23</v>
      </c>
      <c r="Z212" s="97">
        <v>0.22</v>
      </c>
      <c r="AA212" s="97">
        <v>0.2</v>
      </c>
      <c r="AB212" s="97">
        <v>0.2</v>
      </c>
    </row>
    <row r="213" spans="2:28"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</row>
    <row r="214" spans="2:28">
      <c r="B214" s="41" t="s">
        <v>142</v>
      </c>
      <c r="C214" s="41"/>
      <c r="D214" s="41"/>
      <c r="E214" s="41"/>
      <c r="F214" s="41"/>
      <c r="G214" s="41">
        <f t="shared" ref="G214:T214" si="298">G43</f>
        <v>2005</v>
      </c>
      <c r="H214" s="41">
        <f t="shared" si="298"/>
        <v>2006</v>
      </c>
      <c r="I214" s="41">
        <f t="shared" si="298"/>
        <v>2007</v>
      </c>
      <c r="J214" s="41">
        <f t="shared" si="298"/>
        <v>2008</v>
      </c>
      <c r="K214" s="41">
        <f t="shared" si="298"/>
        <v>2009</v>
      </c>
      <c r="L214" s="41">
        <f t="shared" si="298"/>
        <v>2010</v>
      </c>
      <c r="M214" s="41">
        <f t="shared" si="298"/>
        <v>2011</v>
      </c>
      <c r="N214" s="41">
        <f t="shared" si="298"/>
        <v>2012</v>
      </c>
      <c r="O214" s="41">
        <f t="shared" si="298"/>
        <v>2013</v>
      </c>
      <c r="P214" s="41">
        <f t="shared" si="298"/>
        <v>2014</v>
      </c>
      <c r="Q214" s="41">
        <f t="shared" si="298"/>
        <v>2015</v>
      </c>
      <c r="R214" s="41">
        <f t="shared" si="298"/>
        <v>2016</v>
      </c>
      <c r="S214" s="41">
        <f t="shared" si="298"/>
        <v>2017</v>
      </c>
      <c r="T214" s="41">
        <f t="shared" si="298"/>
        <v>2018</v>
      </c>
      <c r="U214" s="41">
        <f t="shared" ref="U214:AA214" si="299">U43</f>
        <v>2019</v>
      </c>
      <c r="V214" s="41">
        <f t="shared" si="299"/>
        <v>2020</v>
      </c>
      <c r="W214" s="41">
        <f t="shared" si="299"/>
        <v>2021</v>
      </c>
      <c r="X214" s="41">
        <f t="shared" si="299"/>
        <v>2022</v>
      </c>
      <c r="Y214" s="41">
        <f t="shared" si="299"/>
        <v>2023</v>
      </c>
      <c r="Z214" s="41">
        <f t="shared" si="299"/>
        <v>2024</v>
      </c>
      <c r="AA214" s="41">
        <f t="shared" si="299"/>
        <v>2025</v>
      </c>
      <c r="AB214" s="41">
        <f t="shared" ref="AB214" si="300">AB43</f>
        <v>2026</v>
      </c>
    </row>
    <row r="216" spans="2:28">
      <c r="B216" s="3" t="s">
        <v>28</v>
      </c>
      <c r="C216" s="3"/>
      <c r="D216" s="3"/>
      <c r="E216" s="3"/>
      <c r="F216" s="3"/>
      <c r="G216" s="3"/>
      <c r="H216" s="3"/>
      <c r="I216" s="3"/>
      <c r="J216" s="3"/>
      <c r="K216" s="79">
        <f t="shared" ref="K216:T216" si="301">K116</f>
        <v>740775</v>
      </c>
      <c r="L216" s="79">
        <f t="shared" si="301"/>
        <v>840055</v>
      </c>
      <c r="M216" s="79">
        <f t="shared" si="301"/>
        <v>966709</v>
      </c>
      <c r="N216" s="79">
        <f t="shared" si="301"/>
        <v>1142690</v>
      </c>
      <c r="O216" s="79">
        <f t="shared" si="301"/>
        <v>1271726</v>
      </c>
      <c r="P216" s="79">
        <f t="shared" si="301"/>
        <v>1150533</v>
      </c>
      <c r="Q216" s="79">
        <f t="shared" si="301"/>
        <v>1150219</v>
      </c>
      <c r="R216" s="79">
        <f t="shared" si="301"/>
        <v>1082156</v>
      </c>
      <c r="S216" s="79">
        <f t="shared" si="301"/>
        <v>1050383</v>
      </c>
      <c r="T216" s="79">
        <f t="shared" si="301"/>
        <v>1001679</v>
      </c>
      <c r="U216" s="79">
        <f>U116</f>
        <v>968403.96862855472</v>
      </c>
      <c r="V216" s="79">
        <f t="shared" ref="V216:AA216" si="302">V116</f>
        <v>968500.22316318192</v>
      </c>
      <c r="W216" s="79">
        <f t="shared" si="302"/>
        <v>972540.12042783445</v>
      </c>
      <c r="X216" s="79">
        <f t="shared" si="302"/>
        <v>981378.41127974924</v>
      </c>
      <c r="Y216" s="79">
        <f t="shared" si="302"/>
        <v>994538.85503036913</v>
      </c>
      <c r="Z216" s="79">
        <f t="shared" si="302"/>
        <v>1011593.6503816172</v>
      </c>
      <c r="AA216" s="79">
        <f t="shared" si="302"/>
        <v>1032155.6304227852</v>
      </c>
      <c r="AB216" s="79">
        <f t="shared" ref="AB216" si="303">AB116</f>
        <v>1055871.1673589346</v>
      </c>
    </row>
    <row r="217" spans="2:28">
      <c r="B217" s="3" t="s">
        <v>29</v>
      </c>
      <c r="C217" s="3"/>
      <c r="D217" s="3"/>
      <c r="E217" s="3"/>
      <c r="F217" s="3"/>
      <c r="G217" s="3"/>
      <c r="H217" s="3"/>
      <c r="I217" s="3"/>
      <c r="J217" s="3"/>
      <c r="K217" s="79">
        <f>K190</f>
        <v>220497</v>
      </c>
      <c r="L217" s="79">
        <f t="shared" ref="L217:T217" si="304">L190</f>
        <v>216569</v>
      </c>
      <c r="M217" s="79">
        <f t="shared" si="304"/>
        <v>234626</v>
      </c>
      <c r="N217" s="79">
        <f>N190</f>
        <v>255379</v>
      </c>
      <c r="O217" s="79">
        <f t="shared" si="304"/>
        <v>272515</v>
      </c>
      <c r="P217" s="79">
        <f t="shared" si="304"/>
        <v>307556</v>
      </c>
      <c r="Q217" s="79">
        <f>Q190</f>
        <v>302572</v>
      </c>
      <c r="R217" s="79">
        <f t="shared" si="304"/>
        <v>341861</v>
      </c>
      <c r="S217" s="79">
        <f t="shared" si="304"/>
        <v>357673</v>
      </c>
      <c r="T217" s="79">
        <f t="shared" si="304"/>
        <v>369604</v>
      </c>
      <c r="U217" s="79">
        <f t="shared" ref="U217:AA217" ca="1" si="305">U190</f>
        <v>378289.23617413139</v>
      </c>
      <c r="V217" s="79">
        <f t="shared" ca="1" si="305"/>
        <v>393937.27566218603</v>
      </c>
      <c r="W217" s="79">
        <f t="shared" ca="1" si="305"/>
        <v>411109.10155537893</v>
      </c>
      <c r="X217" s="79">
        <f t="shared" ca="1" si="305"/>
        <v>429910.72329358343</v>
      </c>
      <c r="Y217" s="79">
        <f t="shared" ca="1" si="305"/>
        <v>450458.4403929559</v>
      </c>
      <c r="Z217" s="79">
        <f t="shared" ca="1" si="305"/>
        <v>472879.53162589989</v>
      </c>
      <c r="AA217" s="79">
        <f t="shared" ca="1" si="305"/>
        <v>497313.02223987953</v>
      </c>
      <c r="AB217" s="79">
        <f t="shared" ref="AB217" ca="1" si="306">AB190</f>
        <v>523910.53453950991</v>
      </c>
    </row>
    <row r="218" spans="2:28">
      <c r="B218" s="3" t="s">
        <v>782</v>
      </c>
      <c r="C218" s="3"/>
      <c r="D218" s="3"/>
      <c r="E218" s="3"/>
      <c r="F218" s="3"/>
      <c r="G218" s="3"/>
      <c r="H218" s="3"/>
      <c r="I218" s="3"/>
      <c r="J218" s="3"/>
      <c r="K218" s="79">
        <f t="shared" ref="K218:T218" si="307">K137</f>
        <v>19988</v>
      </c>
      <c r="L218" s="79">
        <f t="shared" si="307"/>
        <v>19411</v>
      </c>
      <c r="M218" s="79">
        <f t="shared" si="307"/>
        <v>19147</v>
      </c>
      <c r="N218" s="79">
        <f t="shared" si="307"/>
        <v>20111</v>
      </c>
      <c r="O218" s="79">
        <f t="shared" si="307"/>
        <v>21615</v>
      </c>
      <c r="P218" s="79">
        <f t="shared" si="307"/>
        <v>25450</v>
      </c>
      <c r="Q218" s="79">
        <f t="shared" si="307"/>
        <v>26379</v>
      </c>
      <c r="R218" s="79">
        <f t="shared" si="307"/>
        <v>24051</v>
      </c>
      <c r="S218" s="79">
        <f t="shared" si="307"/>
        <v>23709</v>
      </c>
      <c r="T218" s="79">
        <f t="shared" si="307"/>
        <v>20450</v>
      </c>
      <c r="U218" s="79">
        <f t="shared" ref="U218:AA218" si="308">U137</f>
        <v>21063.5</v>
      </c>
      <c r="V218" s="79">
        <f t="shared" si="308"/>
        <v>21695.404999999999</v>
      </c>
      <c r="W218" s="79">
        <f t="shared" si="308"/>
        <v>22346.267150000003</v>
      </c>
      <c r="X218" s="79">
        <f t="shared" si="308"/>
        <v>23016.655164500004</v>
      </c>
      <c r="Y218" s="79">
        <f t="shared" si="308"/>
        <v>23707.154819435003</v>
      </c>
      <c r="Z218" s="79">
        <f t="shared" si="308"/>
        <v>24418.369464018055</v>
      </c>
      <c r="AA218" s="79">
        <f t="shared" si="308"/>
        <v>25150.920547938596</v>
      </c>
      <c r="AB218" s="79">
        <f t="shared" ref="AB218" si="309">AB137</f>
        <v>25905.448164376754</v>
      </c>
    </row>
    <row r="219" spans="2:28">
      <c r="B219" s="3" t="s">
        <v>783</v>
      </c>
      <c r="C219" s="3"/>
      <c r="D219" s="3"/>
      <c r="E219" s="3"/>
      <c r="F219" s="3"/>
      <c r="G219" s="3"/>
      <c r="H219" s="3"/>
      <c r="I219" s="3"/>
      <c r="J219" s="3"/>
      <c r="K219" s="79"/>
      <c r="L219" s="79"/>
      <c r="M219" s="79"/>
      <c r="N219" s="79"/>
      <c r="O219" s="79">
        <f>Interims!AC126+Interims!AD126</f>
        <v>46155</v>
      </c>
      <c r="P219" s="79">
        <f>Peru!P28</f>
        <v>152303</v>
      </c>
      <c r="Q219" s="79">
        <f>Peru!Q28</f>
        <v>237468</v>
      </c>
      <c r="R219" s="79">
        <f>Peru!R28</f>
        <v>348294</v>
      </c>
      <c r="S219" s="79">
        <f>Peru!S28</f>
        <v>460184</v>
      </c>
      <c r="T219" s="79">
        <f>Peru!T28</f>
        <v>472937</v>
      </c>
      <c r="U219" s="79">
        <f ca="1">Peru!U28</f>
        <v>562341.17704406381</v>
      </c>
      <c r="V219" s="79">
        <f ca="1">Peru!V28</f>
        <v>678426.1007311343</v>
      </c>
      <c r="W219" s="79">
        <f ca="1">Peru!W28</f>
        <v>704970.23954462272</v>
      </c>
      <c r="X219" s="79">
        <f ca="1">Peru!X28</f>
        <v>721082.17850476224</v>
      </c>
      <c r="Y219" s="79">
        <f ca="1">Peru!Y28</f>
        <v>741813.78615001205</v>
      </c>
      <c r="Z219" s="79">
        <f ca="1">Peru!Z28</f>
        <v>762426.57939793007</v>
      </c>
      <c r="AA219" s="79">
        <f ca="1">Peru!AA28</f>
        <v>783081.88446241955</v>
      </c>
      <c r="AB219" s="79">
        <f ca="1">Peru!AB28</f>
        <v>803907.03086009622</v>
      </c>
    </row>
    <row r="220" spans="2:28">
      <c r="B220" s="2" t="s">
        <v>20</v>
      </c>
      <c r="C220" s="2"/>
      <c r="D220" s="2"/>
      <c r="E220" s="2"/>
      <c r="F220" s="2"/>
      <c r="G220" s="2"/>
      <c r="H220" s="2"/>
      <c r="I220" s="2"/>
      <c r="J220" s="2"/>
      <c r="K220" s="80">
        <f>K221-K218-K217-K216</f>
        <v>13411</v>
      </c>
      <c r="L220" s="80">
        <f>L221-L218-L217-L216</f>
        <v>10781</v>
      </c>
      <c r="M220" s="80">
        <f>M221-M218-M217-M216</f>
        <v>20433</v>
      </c>
      <c r="N220" s="80">
        <f>N221-N218-N217-N216</f>
        <v>22708</v>
      </c>
      <c r="O220" s="80">
        <f t="shared" ref="O220:T220" si="310">O221-O218-O217-O216-O219</f>
        <v>31919</v>
      </c>
      <c r="P220" s="80">
        <f t="shared" si="310"/>
        <v>28211</v>
      </c>
      <c r="Q220" s="80">
        <f t="shared" si="310"/>
        <v>76226</v>
      </c>
      <c r="R220" s="80">
        <f t="shared" si="310"/>
        <v>79640</v>
      </c>
      <c r="S220" s="80">
        <f t="shared" si="310"/>
        <v>63221</v>
      </c>
      <c r="T220" s="80">
        <f t="shared" si="310"/>
        <v>71428</v>
      </c>
      <c r="U220" s="96">
        <f>T220*0.9</f>
        <v>64285.200000000004</v>
      </c>
      <c r="V220" s="96">
        <f t="shared" ref="V220:AB220" si="311">U220</f>
        <v>64285.200000000004</v>
      </c>
      <c r="W220" s="96">
        <f t="shared" si="311"/>
        <v>64285.200000000004</v>
      </c>
      <c r="X220" s="96">
        <f t="shared" si="311"/>
        <v>64285.200000000004</v>
      </c>
      <c r="Y220" s="96">
        <f t="shared" si="311"/>
        <v>64285.200000000004</v>
      </c>
      <c r="Z220" s="96">
        <f t="shared" si="311"/>
        <v>64285.200000000004</v>
      </c>
      <c r="AA220" s="96">
        <f t="shared" si="311"/>
        <v>64285.200000000004</v>
      </c>
      <c r="AB220" s="96">
        <f t="shared" si="311"/>
        <v>64285.200000000004</v>
      </c>
    </row>
    <row r="221" spans="2:28">
      <c r="B221" s="321" t="s">
        <v>143</v>
      </c>
      <c r="C221" s="321"/>
      <c r="D221" s="321"/>
      <c r="E221" s="321"/>
      <c r="F221" s="321"/>
      <c r="G221" s="322">
        <f>782/809*H221</f>
        <v>915311.18417799752</v>
      </c>
      <c r="H221" s="323">
        <v>946914</v>
      </c>
      <c r="I221" s="323">
        <v>982973</v>
      </c>
      <c r="J221" s="323">
        <v>1066894</v>
      </c>
      <c r="K221" s="324">
        <v>994671</v>
      </c>
      <c r="L221" s="324">
        <v>1086816</v>
      </c>
      <c r="M221" s="324">
        <f>Interims!S128+Interims!T128+Interims!U128+Interims!V128</f>
        <v>1240915</v>
      </c>
      <c r="N221" s="324">
        <f>Interims!W128+Interims!X128+Interims!Y128+Interims!Z133</f>
        <v>1440888</v>
      </c>
      <c r="O221" s="324">
        <f>Interims!AA133+Interims!AB133+Interims!AC133+Interims!AD133</f>
        <v>1643930</v>
      </c>
      <c r="P221" s="324">
        <f>Interims!AE133+Interims!AF133+Interims!AG133+Interims!AH133</f>
        <v>1664053</v>
      </c>
      <c r="Q221" s="324">
        <f>SUM(Interims!AI133:AL133)</f>
        <v>1792864</v>
      </c>
      <c r="R221" s="324">
        <f>SUM(Interims!AM133:AP133)</f>
        <v>1876002</v>
      </c>
      <c r="S221" s="324">
        <f>SUM(Interims!AQ133:AT133)</f>
        <v>1955170</v>
      </c>
      <c r="T221" s="324">
        <f>SUM(Interims!AU133:AX133)</f>
        <v>1936098</v>
      </c>
      <c r="U221" s="325">
        <f t="shared" ref="U221:AA221" ca="1" si="312">SUM(U216:U220)</f>
        <v>1994383.0818467499</v>
      </c>
      <c r="V221" s="325">
        <f t="shared" ca="1" si="312"/>
        <v>2126844.2045565024</v>
      </c>
      <c r="W221" s="325">
        <f t="shared" ca="1" si="312"/>
        <v>2175250.9286778364</v>
      </c>
      <c r="X221" s="325">
        <f t="shared" ca="1" si="312"/>
        <v>2219673.1682425952</v>
      </c>
      <c r="Y221" s="325">
        <f t="shared" ca="1" si="312"/>
        <v>2274803.4363927725</v>
      </c>
      <c r="Z221" s="325">
        <f t="shared" ca="1" si="312"/>
        <v>2335603.3308694656</v>
      </c>
      <c r="AA221" s="325">
        <f t="shared" ca="1" si="312"/>
        <v>2401986.6576730232</v>
      </c>
      <c r="AB221" s="325">
        <f t="shared" ref="AB221" ca="1" si="313">SUM(AB216:AB220)</f>
        <v>2473879.3809229173</v>
      </c>
    </row>
    <row r="222" spans="2:28">
      <c r="B222" s="3" t="s">
        <v>63</v>
      </c>
      <c r="C222" s="3"/>
      <c r="D222" s="3"/>
      <c r="E222" s="3"/>
      <c r="F222" s="3"/>
      <c r="G222" s="3"/>
      <c r="H222" s="3"/>
      <c r="I222" s="3"/>
      <c r="J222" s="5"/>
      <c r="K222" s="5"/>
      <c r="L222" s="5">
        <f t="shared" ref="L222:AB222" si="314">L221/K221-1</f>
        <v>9.2638671480318679E-2</v>
      </c>
      <c r="M222" s="5">
        <f t="shared" si="314"/>
        <v>0.14178941053499394</v>
      </c>
      <c r="N222" s="5">
        <f>N221/M221-1</f>
        <v>0.16114963555118611</v>
      </c>
      <c r="O222" s="5">
        <f t="shared" si="314"/>
        <v>0.14091449161905722</v>
      </c>
      <c r="P222" s="5">
        <f t="shared" si="314"/>
        <v>1.2240788841374028E-2</v>
      </c>
      <c r="Q222" s="5">
        <f t="shared" si="314"/>
        <v>7.7407991211818405E-2</v>
      </c>
      <c r="R222" s="5">
        <f t="shared" si="314"/>
        <v>4.6371615471112237E-2</v>
      </c>
      <c r="S222" s="5">
        <f t="shared" si="314"/>
        <v>4.2200381449486679E-2</v>
      </c>
      <c r="T222" s="5">
        <f t="shared" si="314"/>
        <v>-9.7546504907501941E-3</v>
      </c>
      <c r="U222" s="5">
        <f t="shared" ca="1" si="314"/>
        <v>3.0104406825868235E-2</v>
      </c>
      <c r="V222" s="5">
        <f t="shared" ca="1" si="314"/>
        <v>6.6417091037042297E-2</v>
      </c>
      <c r="W222" s="5">
        <f t="shared" ca="1" si="314"/>
        <v>2.2759882467003667E-2</v>
      </c>
      <c r="X222" s="5">
        <f t="shared" ca="1" si="314"/>
        <v>2.0421662153597753E-2</v>
      </c>
      <c r="Y222" s="5">
        <f t="shared" ca="1" si="314"/>
        <v>2.4837110678697982E-2</v>
      </c>
      <c r="Z222" s="5">
        <f t="shared" ca="1" si="314"/>
        <v>2.6727537643034927E-2</v>
      </c>
      <c r="AA222" s="5">
        <f t="shared" ca="1" si="314"/>
        <v>2.8422346348874861E-2</v>
      </c>
      <c r="AB222" s="5">
        <f t="shared" ca="1" si="314"/>
        <v>2.9930525642278827E-2</v>
      </c>
    </row>
    <row r="223" spans="2:28">
      <c r="B223" s="3" t="s">
        <v>932</v>
      </c>
      <c r="C223" s="3"/>
      <c r="D223" s="3"/>
      <c r="E223" s="3"/>
      <c r="F223" s="3"/>
      <c r="G223" s="3"/>
      <c r="H223" s="3"/>
      <c r="I223" s="3"/>
      <c r="J223" s="5"/>
      <c r="K223" s="5"/>
      <c r="L223" s="5"/>
      <c r="M223" s="5"/>
      <c r="N223" s="5"/>
      <c r="O223" s="79">
        <f t="shared" ref="O223:V223" si="315">O221-O219</f>
        <v>1597775</v>
      </c>
      <c r="P223" s="79">
        <f t="shared" si="315"/>
        <v>1511750</v>
      </c>
      <c r="Q223" s="79">
        <f t="shared" si="315"/>
        <v>1555396</v>
      </c>
      <c r="R223" s="79">
        <f t="shared" si="315"/>
        <v>1527708</v>
      </c>
      <c r="S223" s="79">
        <f t="shared" si="315"/>
        <v>1494986</v>
      </c>
      <c r="T223" s="79">
        <f t="shared" si="315"/>
        <v>1463161</v>
      </c>
      <c r="U223" s="79">
        <f t="shared" ca="1" si="315"/>
        <v>1432041.9048026861</v>
      </c>
      <c r="V223" s="79">
        <f t="shared" ca="1" si="315"/>
        <v>1448418.103825368</v>
      </c>
      <c r="W223" s="79">
        <f t="shared" ref="W223:AA223" ca="1" si="316">W221-W219</f>
        <v>1470280.6891332138</v>
      </c>
      <c r="X223" s="79">
        <f t="shared" ca="1" si="316"/>
        <v>1498590.9897378329</v>
      </c>
      <c r="Y223" s="79">
        <f t="shared" ca="1" si="316"/>
        <v>1532989.6502427603</v>
      </c>
      <c r="Z223" s="79">
        <f t="shared" ca="1" si="316"/>
        <v>1573176.7514715355</v>
      </c>
      <c r="AA223" s="79">
        <f t="shared" ca="1" si="316"/>
        <v>1618904.7732106037</v>
      </c>
      <c r="AB223" s="79">
        <f t="shared" ref="AB223" ca="1" si="317">AB221-AB219</f>
        <v>1669972.3500628211</v>
      </c>
    </row>
    <row r="224" spans="2:28">
      <c r="B224" s="3" t="s">
        <v>789</v>
      </c>
      <c r="C224" s="3"/>
      <c r="D224" s="3"/>
      <c r="E224" s="3"/>
      <c r="F224" s="3"/>
      <c r="G224" s="3"/>
      <c r="H224" s="3"/>
      <c r="I224" s="3"/>
      <c r="J224" s="3"/>
      <c r="K224" s="3"/>
      <c r="L224" s="8">
        <f>(L221-L219)/(K221-K219)-1</f>
        <v>9.2638671480318679E-2</v>
      </c>
      <c r="M224" s="8">
        <f t="shared" ref="M224:AB224" si="318">(M221-M219)/(L221-L219)-1</f>
        <v>0.14178941053499394</v>
      </c>
      <c r="N224" s="8">
        <f t="shared" si="318"/>
        <v>0.16114963555118611</v>
      </c>
      <c r="O224" s="8">
        <f t="shared" si="318"/>
        <v>0.10888216155592945</v>
      </c>
      <c r="P224" s="8">
        <f t="shared" si="318"/>
        <v>-5.3840496941058635E-2</v>
      </c>
      <c r="Q224" s="8">
        <f t="shared" si="318"/>
        <v>2.8871175789647818E-2</v>
      </c>
      <c r="R224" s="8">
        <f t="shared" si="318"/>
        <v>-1.7801254471530026E-2</v>
      </c>
      <c r="S224" s="8">
        <f t="shared" si="318"/>
        <v>-2.1419014628449973E-2</v>
      </c>
      <c r="T224" s="8">
        <f t="shared" si="318"/>
        <v>-2.1287824768927655E-2</v>
      </c>
      <c r="U224" s="8">
        <f t="shared" ca="1" si="318"/>
        <v>-2.1268401219902588E-2</v>
      </c>
      <c r="V224" s="8">
        <f t="shared" ca="1" si="318"/>
        <v>1.1435558532023826E-2</v>
      </c>
      <c r="W224" s="8">
        <f t="shared" ca="1" si="318"/>
        <v>1.5094112155948247E-2</v>
      </c>
      <c r="X224" s="8">
        <f t="shared" ca="1" si="318"/>
        <v>1.925503124257788E-2</v>
      </c>
      <c r="Y224" s="8">
        <f t="shared" ca="1" si="318"/>
        <v>2.2954001952824488E-2</v>
      </c>
      <c r="Z224" s="8">
        <f t="shared" ca="1" si="318"/>
        <v>2.6214854889862638E-2</v>
      </c>
      <c r="AA224" s="8">
        <f t="shared" ca="1" si="318"/>
        <v>2.906731344478275E-2</v>
      </c>
      <c r="AB224" s="8">
        <f t="shared" ca="1" si="318"/>
        <v>3.1544521763896105E-2</v>
      </c>
    </row>
    <row r="225" spans="2:28">
      <c r="B225" s="3" t="s">
        <v>1053</v>
      </c>
      <c r="C225" s="3"/>
      <c r="D225" s="3"/>
      <c r="E225" s="3"/>
      <c r="F225" s="3"/>
      <c r="G225" s="3"/>
      <c r="H225" s="3"/>
      <c r="I225" s="3"/>
      <c r="J225" s="3"/>
      <c r="K225" s="79">
        <f>K216+K217+K220</f>
        <v>974683</v>
      </c>
      <c r="L225" s="79">
        <f t="shared" ref="L225:V225" si="319">L216+L217+L220</f>
        <v>1067405</v>
      </c>
      <c r="M225" s="79">
        <f t="shared" si="319"/>
        <v>1221768</v>
      </c>
      <c r="N225" s="79">
        <f t="shared" si="319"/>
        <v>1420777</v>
      </c>
      <c r="O225" s="79">
        <f t="shared" si="319"/>
        <v>1576160</v>
      </c>
      <c r="P225" s="79">
        <f t="shared" si="319"/>
        <v>1486300</v>
      </c>
      <c r="Q225" s="79">
        <f t="shared" si="319"/>
        <v>1529017</v>
      </c>
      <c r="R225" s="79">
        <f t="shared" si="319"/>
        <v>1503657</v>
      </c>
      <c r="S225" s="79">
        <f t="shared" si="319"/>
        <v>1471277</v>
      </c>
      <c r="T225" s="79">
        <f t="shared" si="319"/>
        <v>1442711</v>
      </c>
      <c r="U225" s="79">
        <f t="shared" ca="1" si="319"/>
        <v>1410978.4048026861</v>
      </c>
      <c r="V225" s="79">
        <f t="shared" ca="1" si="319"/>
        <v>1426722.698825368</v>
      </c>
      <c r="W225" s="79">
        <f t="shared" ref="W225:AA225" ca="1" si="320">W216+W217+W220</f>
        <v>1447934.4219832134</v>
      </c>
      <c r="X225" s="79">
        <f t="shared" ca="1" si="320"/>
        <v>1475574.3345733327</v>
      </c>
      <c r="Y225" s="79">
        <f t="shared" ca="1" si="320"/>
        <v>1509282.4954233251</v>
      </c>
      <c r="Z225" s="79">
        <f t="shared" ca="1" si="320"/>
        <v>1548758.3820075172</v>
      </c>
      <c r="AA225" s="79">
        <f t="shared" ca="1" si="320"/>
        <v>1593753.8526626646</v>
      </c>
      <c r="AB225" s="79">
        <f t="shared" ref="AB225" ca="1" si="321">AB216+AB217+AB220</f>
        <v>1644066.9018984444</v>
      </c>
    </row>
    <row r="226" spans="2:28">
      <c r="B226" s="3"/>
      <c r="C226" s="3"/>
      <c r="D226" s="3"/>
      <c r="E226" s="3"/>
      <c r="F226" s="3"/>
      <c r="G226" s="3"/>
      <c r="H226" s="5"/>
      <c r="I226" s="5"/>
      <c r="J226" s="5"/>
      <c r="K226" s="3"/>
      <c r="L226" s="3"/>
      <c r="M226" s="3"/>
      <c r="N226" s="5">
        <f>N225/M225-1</f>
        <v>0.16288607984494607</v>
      </c>
      <c r="O226" s="5">
        <f>O225/N225-1</f>
        <v>0.10936480531427528</v>
      </c>
      <c r="P226" s="5">
        <f t="shared" ref="P226:AB226" si="322">P225/O225-1</f>
        <v>-5.7011978479342251E-2</v>
      </c>
      <c r="Q226" s="5">
        <f t="shared" si="322"/>
        <v>2.8740496535019755E-2</v>
      </c>
      <c r="R226" s="5">
        <f t="shared" si="322"/>
        <v>-1.6585819516722222E-2</v>
      </c>
      <c r="S226" s="5">
        <f t="shared" si="322"/>
        <v>-2.1534166369058916E-2</v>
      </c>
      <c r="T226" s="5">
        <f t="shared" si="322"/>
        <v>-1.9415786422271264E-2</v>
      </c>
      <c r="U226" s="5">
        <f ca="1">U225/T225-1</f>
        <v>-2.1995115582617686E-2</v>
      </c>
      <c r="V226" s="5">
        <f t="shared" ca="1" si="322"/>
        <v>1.1158423097824555E-2</v>
      </c>
      <c r="W226" s="5">
        <f t="shared" ca="1" si="322"/>
        <v>1.4867446333691303E-2</v>
      </c>
      <c r="X226" s="5">
        <f t="shared" ca="1" si="322"/>
        <v>1.9089201948981449E-2</v>
      </c>
      <c r="Y226" s="5">
        <f t="shared" ca="1" si="322"/>
        <v>2.2844095387264396E-2</v>
      </c>
      <c r="Z226" s="5">
        <f t="shared" ca="1" si="322"/>
        <v>2.6155399472197471E-2</v>
      </c>
      <c r="AA226" s="5">
        <f t="shared" ca="1" si="322"/>
        <v>2.9052608320236484E-2</v>
      </c>
      <c r="AB226" s="5">
        <f t="shared" ca="1" si="322"/>
        <v>3.1568895756218796E-2</v>
      </c>
    </row>
    <row r="227" spans="2:28">
      <c r="B227" s="3"/>
      <c r="C227" s="3"/>
      <c r="D227" s="3"/>
      <c r="E227" s="3"/>
      <c r="F227" s="3"/>
      <c r="G227" s="3"/>
      <c r="H227" s="5"/>
      <c r="I227" s="5"/>
      <c r="J227" s="5"/>
      <c r="K227" s="3"/>
      <c r="L227" s="3"/>
      <c r="M227" s="3"/>
      <c r="N227" s="116"/>
      <c r="O227" s="116"/>
      <c r="P227" s="3"/>
      <c r="Q227" s="79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2:28">
      <c r="B228" s="3" t="str">
        <f>B216</f>
        <v>Chile mobile</v>
      </c>
      <c r="C228" s="3"/>
      <c r="D228" s="3"/>
      <c r="E228" s="3"/>
      <c r="F228" s="3"/>
      <c r="G228" s="3"/>
      <c r="H228" s="79">
        <f t="shared" ref="H228:S228" si="323">H119</f>
        <v>245020</v>
      </c>
      <c r="I228" s="79">
        <f t="shared" si="323"/>
        <v>321436</v>
      </c>
      <c r="J228" s="79">
        <f t="shared" si="323"/>
        <v>320715</v>
      </c>
      <c r="K228" s="79">
        <f t="shared" si="323"/>
        <v>304061</v>
      </c>
      <c r="L228" s="79">
        <f t="shared" si="323"/>
        <v>334261</v>
      </c>
      <c r="M228" s="79">
        <f t="shared" ca="1" si="323"/>
        <v>396348</v>
      </c>
      <c r="N228" s="79">
        <f t="shared" si="323"/>
        <v>420774</v>
      </c>
      <c r="O228" s="79">
        <f t="shared" si="323"/>
        <v>348218</v>
      </c>
      <c r="P228" s="79">
        <f>P119</f>
        <v>406847</v>
      </c>
      <c r="Q228" s="79">
        <f t="shared" si="323"/>
        <v>457197</v>
      </c>
      <c r="R228" s="79">
        <f t="shared" si="323"/>
        <v>439898</v>
      </c>
      <c r="S228" s="79">
        <f t="shared" si="323"/>
        <v>414818</v>
      </c>
      <c r="T228" s="79">
        <f>T119</f>
        <v>370706</v>
      </c>
      <c r="U228" s="79">
        <f t="shared" ref="U228:AA228" si="324">U119</f>
        <v>392203.60729456466</v>
      </c>
      <c r="V228" s="79">
        <f t="shared" si="324"/>
        <v>392242.59038108872</v>
      </c>
      <c r="W228" s="79">
        <f t="shared" si="324"/>
        <v>393878.74877327296</v>
      </c>
      <c r="X228" s="79">
        <f t="shared" si="324"/>
        <v>397458.25656829844</v>
      </c>
      <c r="Y228" s="79">
        <f t="shared" si="324"/>
        <v>402788.23628729954</v>
      </c>
      <c r="Z228" s="79">
        <f t="shared" si="324"/>
        <v>409695.42840455502</v>
      </c>
      <c r="AA228" s="79">
        <f t="shared" si="324"/>
        <v>418023.03032122803</v>
      </c>
      <c r="AB228" s="79">
        <f t="shared" ref="AB228" si="325">AB119</f>
        <v>427627.82278036856</v>
      </c>
    </row>
    <row r="229" spans="2:28">
      <c r="B229" s="3" t="str">
        <f>B217</f>
        <v>Chile fixed</v>
      </c>
      <c r="C229" s="3"/>
      <c r="D229" s="3"/>
      <c r="E229" s="3"/>
      <c r="F229" s="3"/>
      <c r="G229" s="3"/>
      <c r="H229" s="3"/>
      <c r="I229" s="5"/>
      <c r="J229" s="5"/>
      <c r="K229" s="79">
        <f>K208</f>
        <v>95537</v>
      </c>
      <c r="L229" s="79">
        <f>L208</f>
        <v>109188</v>
      </c>
      <c r="M229" s="79">
        <f t="shared" ref="M229:T229" si="326">M208</f>
        <v>114301</v>
      </c>
      <c r="N229" s="79">
        <f t="shared" si="326"/>
        <v>117216</v>
      </c>
      <c r="O229" s="79">
        <f t="shared" si="326"/>
        <v>124819</v>
      </c>
      <c r="P229" s="79">
        <f>P208</f>
        <v>44044</v>
      </c>
      <c r="Q229" s="79">
        <f t="shared" si="326"/>
        <v>65926</v>
      </c>
      <c r="R229" s="79">
        <f t="shared" si="326"/>
        <v>85884</v>
      </c>
      <c r="S229" s="79">
        <f t="shared" si="326"/>
        <v>90993</v>
      </c>
      <c r="T229" s="79">
        <f t="shared" si="326"/>
        <v>97749</v>
      </c>
      <c r="U229" s="79">
        <f t="shared" ref="U229:AA229" ca="1" si="327">U208</f>
        <v>98355.201405274172</v>
      </c>
      <c r="V229" s="79">
        <f t="shared" ca="1" si="327"/>
        <v>102423.69167216837</v>
      </c>
      <c r="W229" s="79">
        <f t="shared" ca="1" si="327"/>
        <v>106888.36640439852</v>
      </c>
      <c r="X229" s="79">
        <f t="shared" ca="1" si="327"/>
        <v>111776.7880563317</v>
      </c>
      <c r="Y229" s="79">
        <f t="shared" ca="1" si="327"/>
        <v>117119.19450216854</v>
      </c>
      <c r="Z229" s="79">
        <f t="shared" ca="1" si="327"/>
        <v>122948.67822273397</v>
      </c>
      <c r="AA229" s="79">
        <f t="shared" ca="1" si="327"/>
        <v>129301.38578236868</v>
      </c>
      <c r="AB229" s="79">
        <f t="shared" ref="AB229" ca="1" si="328">AB208</f>
        <v>136216.73898027258</v>
      </c>
    </row>
    <row r="230" spans="2:28">
      <c r="B230" s="3" t="str">
        <f>B218</f>
        <v>Peru fixed</v>
      </c>
      <c r="C230" s="3"/>
      <c r="D230" s="3"/>
      <c r="E230" s="3"/>
      <c r="F230" s="3"/>
      <c r="G230" s="3"/>
      <c r="H230" s="3"/>
      <c r="I230" s="5"/>
      <c r="J230" s="5"/>
      <c r="K230" s="79">
        <f t="shared" ref="K230:T230" si="329">K147</f>
        <v>0</v>
      </c>
      <c r="L230" s="79">
        <f t="shared" si="329"/>
        <v>931</v>
      </c>
      <c r="M230" s="79">
        <f t="shared" si="329"/>
        <v>1843</v>
      </c>
      <c r="N230" s="79">
        <f t="shared" si="329"/>
        <v>3590</v>
      </c>
      <c r="O230" s="79">
        <f t="shared" si="329"/>
        <v>4066</v>
      </c>
      <c r="P230" s="79">
        <f t="shared" si="329"/>
        <v>5815</v>
      </c>
      <c r="Q230" s="79">
        <f t="shared" si="329"/>
        <v>6191</v>
      </c>
      <c r="R230" s="79">
        <f t="shared" si="329"/>
        <v>4759</v>
      </c>
      <c r="S230" s="79">
        <f t="shared" si="329"/>
        <v>2878</v>
      </c>
      <c r="T230" s="79">
        <f t="shared" si="329"/>
        <v>3207</v>
      </c>
      <c r="U230" s="79">
        <f t="shared" ref="U230:AA230" si="330">U147</f>
        <v>3319.1956000000005</v>
      </c>
      <c r="V230" s="79">
        <f t="shared" si="330"/>
        <v>3662.9694300000001</v>
      </c>
      <c r="W230" s="79">
        <f t="shared" si="330"/>
        <v>4024.3824137600004</v>
      </c>
      <c r="X230" s="79">
        <f t="shared" si="330"/>
        <v>4404.1835040586011</v>
      </c>
      <c r="Y230" s="79">
        <f t="shared" si="330"/>
        <v>4536.3090091803588</v>
      </c>
      <c r="Z230" s="79">
        <f t="shared" si="330"/>
        <v>4672.3982794557705</v>
      </c>
      <c r="AA230" s="79">
        <f t="shared" si="330"/>
        <v>5095.6625941829398</v>
      </c>
      <c r="AB230" s="79">
        <f t="shared" ref="AB230" si="331">AB147</f>
        <v>5248.5324720084272</v>
      </c>
    </row>
    <row r="231" spans="2:28">
      <c r="B231" s="3" t="s">
        <v>783</v>
      </c>
      <c r="C231" s="3"/>
      <c r="D231" s="3"/>
      <c r="E231" s="3"/>
      <c r="F231" s="3"/>
      <c r="G231" s="3"/>
      <c r="H231" s="3"/>
      <c r="I231" s="5"/>
      <c r="J231" s="5"/>
      <c r="K231" s="79"/>
      <c r="L231" s="79"/>
      <c r="M231" s="79"/>
      <c r="N231" s="339"/>
      <c r="O231" s="79">
        <f>Interims!AC143+Interims!AD143</f>
        <v>-11034</v>
      </c>
      <c r="P231" s="79">
        <f>Peru!P30</f>
        <v>-109520</v>
      </c>
      <c r="Q231" s="79">
        <f>Peru!Q30</f>
        <v>-169059</v>
      </c>
      <c r="R231" s="79">
        <f>Peru!R30</f>
        <v>-121489</v>
      </c>
      <c r="S231" s="79">
        <f>Peru!S30</f>
        <v>-75998</v>
      </c>
      <c r="T231" s="79">
        <f>Peru!T30</f>
        <v>-53172</v>
      </c>
      <c r="U231" s="79">
        <f ca="1">Peru!U30</f>
        <v>198.70176634666649</v>
      </c>
      <c r="V231" s="79">
        <f ca="1">Peru!V30</f>
        <v>42912.482455900397</v>
      </c>
      <c r="W231" s="79">
        <f ca="1">Peru!W30</f>
        <v>86910.575945176766</v>
      </c>
      <c r="X231" s="79">
        <f ca="1">Peru!X30</f>
        <v>119885.68771604441</v>
      </c>
      <c r="Y231" s="79">
        <f ca="1">Peru!Y30</f>
        <v>156913.66776100494</v>
      </c>
      <c r="Z231" s="79">
        <f ca="1">Peru!Z30</f>
        <v>188879.61067987973</v>
      </c>
      <c r="AA231" s="79">
        <f ca="1">Peru!AA30</f>
        <v>220495.41677643501</v>
      </c>
      <c r="AB231" s="79">
        <f ca="1">Peru!AB30</f>
        <v>251906.32101835526</v>
      </c>
    </row>
    <row r="232" spans="2:28">
      <c r="B232" s="2" t="str">
        <f>B220</f>
        <v>Other</v>
      </c>
      <c r="C232" s="2"/>
      <c r="D232" s="2"/>
      <c r="E232" s="2"/>
      <c r="F232" s="2"/>
      <c r="G232" s="2"/>
      <c r="H232" s="2"/>
      <c r="I232" s="82"/>
      <c r="J232" s="82"/>
      <c r="K232" s="80">
        <f>K233-K228-K229-K230</f>
        <v>1760</v>
      </c>
      <c r="L232" s="80">
        <f>L233-L228-L229-L230</f>
        <v>2049</v>
      </c>
      <c r="M232" s="80">
        <f ca="1">M233-M228-M229-M230</f>
        <v>2707</v>
      </c>
      <c r="N232" s="80">
        <f>N233-N228-N229-N230</f>
        <v>1045</v>
      </c>
      <c r="O232" s="80">
        <f t="shared" ref="O232:T232" si="332">O233-O228-O229-O230-O231</f>
        <v>-4131</v>
      </c>
      <c r="P232" s="80">
        <f t="shared" si="332"/>
        <v>18964</v>
      </c>
      <c r="Q232" s="80">
        <f t="shared" si="332"/>
        <v>4531</v>
      </c>
      <c r="R232" s="80">
        <f t="shared" si="332"/>
        <v>7229</v>
      </c>
      <c r="S232" s="80">
        <f t="shared" si="332"/>
        <v>7412</v>
      </c>
      <c r="T232" s="80">
        <f t="shared" si="332"/>
        <v>8431</v>
      </c>
      <c r="U232" s="33">
        <f>T232*1.1</f>
        <v>9274.1</v>
      </c>
      <c r="V232" s="33">
        <f t="shared" ref="V232:AB232" si="333">U232*0.9</f>
        <v>8346.69</v>
      </c>
      <c r="W232" s="33">
        <f t="shared" si="333"/>
        <v>7512.0210000000006</v>
      </c>
      <c r="X232" s="33">
        <f t="shared" si="333"/>
        <v>6760.8189000000011</v>
      </c>
      <c r="Y232" s="33">
        <f t="shared" si="333"/>
        <v>6084.7370100000007</v>
      </c>
      <c r="Z232" s="33">
        <f t="shared" si="333"/>
        <v>5476.2633090000008</v>
      </c>
      <c r="AA232" s="33">
        <f t="shared" si="333"/>
        <v>4928.6369781000012</v>
      </c>
      <c r="AB232" s="33">
        <f t="shared" si="333"/>
        <v>4435.7732802900009</v>
      </c>
    </row>
    <row r="233" spans="2:28">
      <c r="B233" s="321" t="s">
        <v>4</v>
      </c>
      <c r="C233" s="321"/>
      <c r="D233" s="321"/>
      <c r="E233" s="321"/>
      <c r="F233" s="321"/>
      <c r="G233" s="322">
        <v>260519</v>
      </c>
      <c r="H233" s="322">
        <v>334793</v>
      </c>
      <c r="I233" s="323">
        <v>395319</v>
      </c>
      <c r="J233" s="323">
        <v>423066</v>
      </c>
      <c r="K233" s="324">
        <v>401358</v>
      </c>
      <c r="L233" s="324">
        <v>446429</v>
      </c>
      <c r="M233" s="324">
        <f>SUM(Interims!S145:V145)</f>
        <v>515199</v>
      </c>
      <c r="N233" s="324">
        <f>Interims!W145+Interims!X145+Interims!Y145+Interims!Z150</f>
        <v>542625</v>
      </c>
      <c r="O233" s="324">
        <f>Interims!AA150+Interims!AB150+Interims!AC150+Interims!AD150</f>
        <v>461938</v>
      </c>
      <c r="P233" s="324">
        <f>Interims!AE150+Interims!AF150+Interims!AG150+Interims!AH150</f>
        <v>366150</v>
      </c>
      <c r="Q233" s="324">
        <f>SUM(Interims!AI150:AL150)</f>
        <v>364786</v>
      </c>
      <c r="R233" s="324">
        <f>SUM(Interims!AM150:AP150)</f>
        <v>416281</v>
      </c>
      <c r="S233" s="324">
        <f>SUM(Interims!AQ150:AT150)</f>
        <v>440103</v>
      </c>
      <c r="T233" s="324">
        <f>SUM(Interims!AU150:AX150)</f>
        <v>426921</v>
      </c>
      <c r="U233" s="325">
        <f t="shared" ref="U233:AA233" ca="1" si="334">SUM(U228:U232)</f>
        <v>503350.80606618541</v>
      </c>
      <c r="V233" s="325">
        <f t="shared" ca="1" si="334"/>
        <v>549588.42393915739</v>
      </c>
      <c r="W233" s="325">
        <f t="shared" ca="1" si="334"/>
        <v>599214.0945366082</v>
      </c>
      <c r="X233" s="325">
        <f t="shared" ca="1" si="334"/>
        <v>640285.73474473308</v>
      </c>
      <c r="Y233" s="325">
        <f t="shared" ca="1" si="334"/>
        <v>687442.14456965355</v>
      </c>
      <c r="Z233" s="325">
        <f t="shared" ca="1" si="334"/>
        <v>731672.37889562442</v>
      </c>
      <c r="AA233" s="325">
        <f t="shared" ca="1" si="334"/>
        <v>777844.1324523146</v>
      </c>
      <c r="AB233" s="325">
        <f t="shared" ref="AB233" ca="1" si="335">SUM(AB228:AB232)</f>
        <v>825435.1885312947</v>
      </c>
    </row>
    <row r="234" spans="2:28">
      <c r="B234" s="3" t="s">
        <v>63</v>
      </c>
      <c r="C234" s="3"/>
      <c r="D234" s="3"/>
      <c r="E234" s="3"/>
      <c r="F234" s="3"/>
      <c r="G234" s="264"/>
      <c r="H234" s="264"/>
      <c r="I234" s="265"/>
      <c r="J234" s="265"/>
      <c r="K234" s="5"/>
      <c r="L234" s="8">
        <f t="shared" ref="L234:AB234" si="336">L233/K233-1</f>
        <v>0.11229625421693346</v>
      </c>
      <c r="M234" s="8">
        <f t="shared" si="336"/>
        <v>0.15404465211713392</v>
      </c>
      <c r="N234" s="8">
        <f t="shared" si="336"/>
        <v>5.3233798978647107E-2</v>
      </c>
      <c r="O234" s="8">
        <f t="shared" si="336"/>
        <v>-0.14869753513015438</v>
      </c>
      <c r="P234" s="8">
        <f t="shared" si="336"/>
        <v>-0.20736116102160895</v>
      </c>
      <c r="Q234" s="8">
        <f t="shared" si="336"/>
        <v>-3.7252492148026617E-3</v>
      </c>
      <c r="R234" s="8">
        <f t="shared" si="336"/>
        <v>0.14116495698848097</v>
      </c>
      <c r="S234" s="8">
        <f t="shared" si="336"/>
        <v>5.7225768171019098E-2</v>
      </c>
      <c r="T234" s="8">
        <f t="shared" si="336"/>
        <v>-2.99520793995951E-2</v>
      </c>
      <c r="U234" s="8">
        <f t="shared" ca="1" si="336"/>
        <v>0.17902564190139492</v>
      </c>
      <c r="V234" s="8">
        <f t="shared" ca="1" si="336"/>
        <v>9.1859628147475725E-2</v>
      </c>
      <c r="W234" s="8">
        <f t="shared" ca="1" si="336"/>
        <v>9.0296062354735307E-2</v>
      </c>
      <c r="X234" s="8">
        <f t="shared" ca="1" si="336"/>
        <v>6.8542513573361274E-2</v>
      </c>
      <c r="Y234" s="8">
        <f t="shared" ca="1" si="336"/>
        <v>7.364900897522042E-2</v>
      </c>
      <c r="Z234" s="8">
        <f t="shared" ca="1" si="336"/>
        <v>6.4340300744376799E-2</v>
      </c>
      <c r="AA234" s="8">
        <f t="shared" ca="1" si="336"/>
        <v>6.3104409690005081E-2</v>
      </c>
      <c r="AB234" s="8">
        <f t="shared" ca="1" si="336"/>
        <v>6.1183280934368423E-2</v>
      </c>
    </row>
    <row r="235" spans="2:28">
      <c r="B235" s="3"/>
      <c r="C235" s="3"/>
      <c r="D235" s="3"/>
      <c r="E235" s="3"/>
      <c r="F235" s="3"/>
      <c r="G235" s="264"/>
      <c r="H235" s="264"/>
      <c r="I235" s="265"/>
      <c r="J235" s="265"/>
      <c r="K235" s="5"/>
      <c r="L235" s="8"/>
      <c r="M235" s="8"/>
      <c r="N235" s="8"/>
      <c r="O235" s="8"/>
      <c r="P235" s="8"/>
      <c r="Q235" s="8"/>
      <c r="R235" s="79"/>
      <c r="S235" s="5"/>
      <c r="T235" s="8"/>
      <c r="U235" s="8"/>
      <c r="V235" s="8"/>
      <c r="W235" s="8"/>
      <c r="X235" s="8"/>
      <c r="Y235" s="8"/>
      <c r="Z235" s="8"/>
      <c r="AA235" s="8"/>
      <c r="AB235" s="8"/>
    </row>
    <row r="236" spans="2:28">
      <c r="B236" s="3" t="s">
        <v>1054</v>
      </c>
      <c r="C236" s="3"/>
      <c r="D236" s="3"/>
      <c r="E236" s="3"/>
      <c r="F236" s="3"/>
      <c r="G236" s="3"/>
      <c r="H236" s="3"/>
      <c r="I236" s="3"/>
      <c r="J236" s="3"/>
      <c r="K236" s="79">
        <f t="shared" ref="K236:V236" si="337">K228+K229+K232</f>
        <v>401358</v>
      </c>
      <c r="L236" s="79">
        <f t="shared" si="337"/>
        <v>445498</v>
      </c>
      <c r="M236" s="79">
        <f t="shared" ca="1" si="337"/>
        <v>513356</v>
      </c>
      <c r="N236" s="79">
        <f t="shared" si="337"/>
        <v>539035</v>
      </c>
      <c r="O236" s="79">
        <f t="shared" si="337"/>
        <v>468906</v>
      </c>
      <c r="P236" s="79">
        <f t="shared" si="337"/>
        <v>469855</v>
      </c>
      <c r="Q236" s="79">
        <f t="shared" si="337"/>
        <v>527654</v>
      </c>
      <c r="R236" s="79">
        <f t="shared" si="337"/>
        <v>533011</v>
      </c>
      <c r="S236" s="79">
        <f t="shared" si="337"/>
        <v>513223</v>
      </c>
      <c r="T236" s="79">
        <f t="shared" si="337"/>
        <v>476886</v>
      </c>
      <c r="U236" s="79">
        <f ca="1">U228+U229+U232</f>
        <v>499832.90869983879</v>
      </c>
      <c r="V236" s="79">
        <f t="shared" ca="1" si="337"/>
        <v>503012.97205325711</v>
      </c>
      <c r="W236" s="79">
        <f t="shared" ref="W236:AA236" ca="1" si="338">W228+W229+W232</f>
        <v>508279.13617767149</v>
      </c>
      <c r="X236" s="79">
        <f t="shared" ca="1" si="338"/>
        <v>515995.86352463014</v>
      </c>
      <c r="Y236" s="79">
        <f t="shared" ca="1" si="338"/>
        <v>525992.16779946815</v>
      </c>
      <c r="Z236" s="79">
        <f t="shared" ca="1" si="338"/>
        <v>538120.36993628892</v>
      </c>
      <c r="AA236" s="79">
        <f t="shared" ca="1" si="338"/>
        <v>552253.05308169674</v>
      </c>
      <c r="AB236" s="79">
        <f t="shared" ref="AB236" ca="1" si="339">AB228+AB229+AB232</f>
        <v>568280.33504093112</v>
      </c>
    </row>
    <row r="237" spans="2:28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116"/>
      <c r="O237" s="116"/>
      <c r="P237" s="5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2:28">
      <c r="B238" s="3" t="str">
        <f>B228</f>
        <v>Chile mobile</v>
      </c>
      <c r="C238" s="3"/>
      <c r="D238" s="3"/>
      <c r="E238" s="3"/>
      <c r="F238" s="3"/>
      <c r="G238" s="3"/>
      <c r="H238" s="3"/>
      <c r="I238" s="3"/>
      <c r="J238" s="3"/>
      <c r="K238" s="8">
        <f t="shared" ref="K238:V238" si="340">K228/K216</f>
        <v>0.41046336606931927</v>
      </c>
      <c r="L238" s="8">
        <f t="shared" si="340"/>
        <v>0.39790370868574082</v>
      </c>
      <c r="M238" s="8">
        <f t="shared" ca="1" si="340"/>
        <v>0.40999721736323963</v>
      </c>
      <c r="N238" s="8">
        <f t="shared" si="340"/>
        <v>0.36823110379893059</v>
      </c>
      <c r="O238" s="8">
        <f t="shared" si="340"/>
        <v>0.27381527152861546</v>
      </c>
      <c r="P238" s="8">
        <f t="shared" si="340"/>
        <v>0.35361610662188742</v>
      </c>
      <c r="Q238" s="8">
        <f t="shared" ref="Q238:Q243" si="341">Q228/Q216</f>
        <v>0.39748691336171632</v>
      </c>
      <c r="R238" s="8">
        <f t="shared" si="340"/>
        <v>0.40650146559276112</v>
      </c>
      <c r="S238" s="8">
        <f t="shared" si="340"/>
        <v>0.3949207098743982</v>
      </c>
      <c r="T238" s="8">
        <f t="shared" si="340"/>
        <v>0.37008462790973956</v>
      </c>
      <c r="U238" s="8">
        <f t="shared" si="340"/>
        <v>0.40499999999999997</v>
      </c>
      <c r="V238" s="8">
        <f t="shared" si="340"/>
        <v>0.40500000000000003</v>
      </c>
      <c r="W238" s="8">
        <f t="shared" ref="W238:AA238" si="342">W228/W216</f>
        <v>0.40500000000000003</v>
      </c>
      <c r="X238" s="8">
        <f t="shared" si="342"/>
        <v>0.40500000000000003</v>
      </c>
      <c r="Y238" s="8">
        <f t="shared" si="342"/>
        <v>0.40500000000000003</v>
      </c>
      <c r="Z238" s="8">
        <f t="shared" si="342"/>
        <v>0.40500000000000003</v>
      </c>
      <c r="AA238" s="8">
        <f t="shared" si="342"/>
        <v>0.40500000000000003</v>
      </c>
      <c r="AB238" s="8">
        <f t="shared" ref="AB238" si="343">AB228/AB216</f>
        <v>0.40500000000000003</v>
      </c>
    </row>
    <row r="239" spans="2:28">
      <c r="B239" s="3" t="str">
        <f>B229</f>
        <v>Chile fixed</v>
      </c>
      <c r="C239" s="3"/>
      <c r="D239" s="3"/>
      <c r="E239" s="3"/>
      <c r="F239" s="3"/>
      <c r="G239" s="3"/>
      <c r="H239" s="3"/>
      <c r="I239" s="3"/>
      <c r="J239" s="3"/>
      <c r="K239" s="8">
        <f t="shared" ref="K239:V239" si="344">K229/K217</f>
        <v>0.43328027138691227</v>
      </c>
      <c r="L239" s="8">
        <f t="shared" si="344"/>
        <v>0.50417188055538886</v>
      </c>
      <c r="M239" s="8">
        <f t="shared" si="344"/>
        <v>0.48716254805520276</v>
      </c>
      <c r="N239" s="8">
        <f t="shared" si="344"/>
        <v>0.45898840546795155</v>
      </c>
      <c r="O239" s="8">
        <f t="shared" si="344"/>
        <v>0.45802616369741117</v>
      </c>
      <c r="P239" s="8">
        <f t="shared" si="344"/>
        <v>0.14320644045312073</v>
      </c>
      <c r="Q239" s="8">
        <f t="shared" si="341"/>
        <v>0.2178853297727483</v>
      </c>
      <c r="R239" s="8">
        <f t="shared" si="344"/>
        <v>0.25122491304945577</v>
      </c>
      <c r="S239" s="8">
        <f t="shared" si="344"/>
        <v>0.25440276453632227</v>
      </c>
      <c r="T239" s="8">
        <f t="shared" si="344"/>
        <v>0.26446954037293968</v>
      </c>
      <c r="U239" s="8">
        <f t="shared" ca="1" si="344"/>
        <v>0.26</v>
      </c>
      <c r="V239" s="8">
        <f t="shared" ca="1" si="344"/>
        <v>0.26</v>
      </c>
      <c r="W239" s="8">
        <f t="shared" ref="W239:AA239" ca="1" si="345">W229/W217</f>
        <v>0.26</v>
      </c>
      <c r="X239" s="8">
        <f t="shared" ca="1" si="345"/>
        <v>0.26</v>
      </c>
      <c r="Y239" s="8">
        <f t="shared" ca="1" si="345"/>
        <v>0.26</v>
      </c>
      <c r="Z239" s="8">
        <f t="shared" ca="1" si="345"/>
        <v>0.26</v>
      </c>
      <c r="AA239" s="8">
        <f t="shared" ca="1" si="345"/>
        <v>0.26</v>
      </c>
      <c r="AB239" s="8">
        <f t="shared" ref="AB239" ca="1" si="346">AB229/AB217</f>
        <v>0.26</v>
      </c>
    </row>
    <row r="240" spans="2:28">
      <c r="B240" s="3" t="str">
        <f>B230</f>
        <v>Peru fixed</v>
      </c>
      <c r="C240" s="3"/>
      <c r="D240" s="3"/>
      <c r="E240" s="3"/>
      <c r="F240" s="3"/>
      <c r="G240" s="3"/>
      <c r="H240" s="3"/>
      <c r="I240" s="3"/>
      <c r="J240" s="3"/>
      <c r="K240" s="8">
        <f t="shared" ref="K240:V240" si="347">K230/K218</f>
        <v>0</v>
      </c>
      <c r="L240" s="8">
        <f t="shared" si="347"/>
        <v>4.7962495492246661E-2</v>
      </c>
      <c r="M240" s="8">
        <f t="shared" si="347"/>
        <v>9.625528803467906E-2</v>
      </c>
      <c r="N240" s="8">
        <f t="shared" si="347"/>
        <v>0.17850927353189797</v>
      </c>
      <c r="O240" s="8">
        <f t="shared" si="347"/>
        <v>0.18811010872079575</v>
      </c>
      <c r="P240" s="8">
        <f t="shared" si="347"/>
        <v>0.22848722986247544</v>
      </c>
      <c r="Q240" s="8">
        <f t="shared" si="341"/>
        <v>0.23469426437696653</v>
      </c>
      <c r="R240" s="8">
        <f t="shared" si="347"/>
        <v>0.19787119038709408</v>
      </c>
      <c r="S240" s="8">
        <f t="shared" si="347"/>
        <v>0.12138850225652706</v>
      </c>
      <c r="T240" s="8">
        <f t="shared" si="347"/>
        <v>0.15682151589242055</v>
      </c>
      <c r="U240" s="8">
        <f t="shared" si="347"/>
        <v>0.15758044009779953</v>
      </c>
      <c r="V240" s="8">
        <f t="shared" si="347"/>
        <v>0.16883618581907092</v>
      </c>
      <c r="W240" s="8">
        <f t="shared" ref="W240:AA240" si="348">W230/W218</f>
        <v>0.18009193154034228</v>
      </c>
      <c r="X240" s="8">
        <f t="shared" si="348"/>
        <v>0.1913476772616137</v>
      </c>
      <c r="Y240" s="8">
        <f t="shared" si="348"/>
        <v>0.1913476772616137</v>
      </c>
      <c r="Z240" s="8">
        <f t="shared" si="348"/>
        <v>0.19134767726161372</v>
      </c>
      <c r="AA240" s="8">
        <f t="shared" si="348"/>
        <v>0.20260342298288511</v>
      </c>
      <c r="AB240" s="8">
        <f t="shared" ref="AB240" si="349">AB230/AB218</f>
        <v>0.20260342298288508</v>
      </c>
    </row>
    <row r="241" spans="1:28">
      <c r="B241" s="3" t="s">
        <v>783</v>
      </c>
      <c r="C241" s="3"/>
      <c r="D241" s="3"/>
      <c r="E241" s="3"/>
      <c r="F241" s="3"/>
      <c r="G241" s="3"/>
      <c r="H241" s="3"/>
      <c r="I241" s="3"/>
      <c r="J241" s="3"/>
      <c r="K241" s="8"/>
      <c r="L241" s="8"/>
      <c r="M241" s="8"/>
      <c r="N241" s="8"/>
      <c r="O241" s="8">
        <f t="shared" ref="O241:V243" si="350">O231/O219</f>
        <v>-0.23906402339941502</v>
      </c>
      <c r="P241" s="8">
        <f t="shared" si="350"/>
        <v>-0.71909286094167546</v>
      </c>
      <c r="Q241" s="8">
        <f t="shared" si="341"/>
        <v>-0.71192329071706506</v>
      </c>
      <c r="R241" s="8">
        <f t="shared" si="350"/>
        <v>-0.34881163614647398</v>
      </c>
      <c r="S241" s="8">
        <f t="shared" si="350"/>
        <v>-0.16514698468438713</v>
      </c>
      <c r="T241" s="8">
        <f t="shared" si="350"/>
        <v>-0.11242935105521454</v>
      </c>
      <c r="U241" s="8">
        <f t="shared" ca="1" si="350"/>
        <v>3.5334735292040807E-4</v>
      </c>
      <c r="V241" s="8">
        <f t="shared" ca="1" si="350"/>
        <v>6.3252994555566128E-2</v>
      </c>
      <c r="W241" s="8">
        <f t="shared" ref="W241:AA241" ca="1" si="351">W231/W219</f>
        <v>0.12328261686807782</v>
      </c>
      <c r="X241" s="8">
        <f t="shared" ca="1" si="351"/>
        <v>0.16625800954426534</v>
      </c>
      <c r="Y241" s="8">
        <f t="shared" ca="1" si="351"/>
        <v>0.21152703102941975</v>
      </c>
      <c r="Z241" s="8">
        <f t="shared" ca="1" si="351"/>
        <v>0.24773481904189831</v>
      </c>
      <c r="AA241" s="8">
        <f t="shared" ca="1" si="351"/>
        <v>0.28157389559305618</v>
      </c>
      <c r="AB241" s="8">
        <f t="shared" ref="AB241" ca="1" si="352">AB231/AB219</f>
        <v>0.31335255365143644</v>
      </c>
    </row>
    <row r="242" spans="1:28">
      <c r="B242" s="2" t="str">
        <f>B232</f>
        <v>Other</v>
      </c>
      <c r="C242" s="2"/>
      <c r="D242" s="2"/>
      <c r="E242" s="2"/>
      <c r="F242" s="2"/>
      <c r="G242" s="2"/>
      <c r="H242" s="2"/>
      <c r="I242" s="2"/>
      <c r="J242" s="2"/>
      <c r="K242" s="83">
        <f t="shared" ref="K242:N243" si="353">K232/K220</f>
        <v>0.13123555290433225</v>
      </c>
      <c r="L242" s="83">
        <f t="shared" si="353"/>
        <v>0.19005658102216863</v>
      </c>
      <c r="M242" s="83">
        <f t="shared" ca="1" si="353"/>
        <v>0.13248176968629177</v>
      </c>
      <c r="N242" s="83">
        <f t="shared" si="353"/>
        <v>4.601902413246433E-2</v>
      </c>
      <c r="O242" s="83">
        <f t="shared" si="350"/>
        <v>-0.12942134778658479</v>
      </c>
      <c r="P242" s="83">
        <f t="shared" si="350"/>
        <v>0.67222005600652224</v>
      </c>
      <c r="Q242" s="83">
        <f t="shared" si="341"/>
        <v>5.9441660325873065E-2</v>
      </c>
      <c r="R242" s="83">
        <f t="shared" si="350"/>
        <v>9.0770969362129583E-2</v>
      </c>
      <c r="S242" s="83">
        <f t="shared" si="350"/>
        <v>0.11723952484142927</v>
      </c>
      <c r="T242" s="83">
        <f t="shared" si="350"/>
        <v>0.11803494427955423</v>
      </c>
      <c r="U242" s="83">
        <f t="shared" si="350"/>
        <v>0.14426493189723294</v>
      </c>
      <c r="V242" s="83">
        <f t="shared" si="350"/>
        <v>0.12983843870750966</v>
      </c>
      <c r="W242" s="83">
        <f t="shared" ref="W242:AA242" si="354">W232/W220</f>
        <v>0.1168545948367587</v>
      </c>
      <c r="X242" s="83">
        <f t="shared" si="354"/>
        <v>0.10516913535308284</v>
      </c>
      <c r="Y242" s="83">
        <f t="shared" si="354"/>
        <v>9.4652221817774551E-2</v>
      </c>
      <c r="Z242" s="83">
        <f t="shared" si="354"/>
        <v>8.5186999635997102E-2</v>
      </c>
      <c r="AA242" s="83">
        <f t="shared" si="354"/>
        <v>7.6668299672397397E-2</v>
      </c>
      <c r="AB242" s="83">
        <f t="shared" ref="AB242" si="355">AB232/AB220</f>
        <v>6.900146970515765E-2</v>
      </c>
    </row>
    <row r="243" spans="1:28">
      <c r="B243" s="321" t="s">
        <v>91</v>
      </c>
      <c r="C243" s="321"/>
      <c r="D243" s="321"/>
      <c r="E243" s="321"/>
      <c r="F243" s="321"/>
      <c r="G243" s="321"/>
      <c r="H243" s="326">
        <f>H233/H221</f>
        <v>0.3535622031145384</v>
      </c>
      <c r="I243" s="326">
        <f>I233/I221</f>
        <v>0.40216669226926882</v>
      </c>
      <c r="J243" s="326">
        <f>J233/J221</f>
        <v>0.3965398624418171</v>
      </c>
      <c r="K243" s="326">
        <f t="shared" si="353"/>
        <v>0.40350829570782704</v>
      </c>
      <c r="L243" s="326">
        <f t="shared" si="353"/>
        <v>0.41076778405912318</v>
      </c>
      <c r="M243" s="326">
        <f t="shared" si="353"/>
        <v>0.41517670428675613</v>
      </c>
      <c r="N243" s="326">
        <f t="shared" si="353"/>
        <v>0.37659068574379134</v>
      </c>
      <c r="O243" s="326">
        <f t="shared" si="350"/>
        <v>0.28099614947108453</v>
      </c>
      <c r="P243" s="326">
        <f t="shared" si="350"/>
        <v>0.22003505897949163</v>
      </c>
      <c r="Q243" s="326">
        <f t="shared" si="341"/>
        <v>0.2034655166259125</v>
      </c>
      <c r="R243" s="326">
        <f t="shared" si="350"/>
        <v>0.22189795106828245</v>
      </c>
      <c r="S243" s="326">
        <f t="shared" si="350"/>
        <v>0.22509705038436556</v>
      </c>
      <c r="T243" s="326">
        <f t="shared" si="350"/>
        <v>0.22050588348317079</v>
      </c>
      <c r="U243" s="326">
        <f t="shared" ca="1" si="350"/>
        <v>0.25238421376904929</v>
      </c>
      <c r="V243" s="326">
        <f t="shared" ca="1" si="350"/>
        <v>0.2584055864372819</v>
      </c>
      <c r="W243" s="326">
        <f t="shared" ref="W243:AA243" ca="1" si="356">W233/W221</f>
        <v>0.27546895240303299</v>
      </c>
      <c r="X243" s="326">
        <f t="shared" ca="1" si="356"/>
        <v>0.28845946507146059</v>
      </c>
      <c r="Y243" s="326">
        <f t="shared" ca="1" si="356"/>
        <v>0.3021984816673885</v>
      </c>
      <c r="Z243" s="326">
        <f t="shared" ca="1" si="356"/>
        <v>0.31326911090816423</v>
      </c>
      <c r="AA243" s="326">
        <f t="shared" ca="1" si="356"/>
        <v>0.32383366076057557</v>
      </c>
      <c r="AB243" s="326">
        <f t="shared" ref="AB243" ca="1" si="357">AB233/AB221</f>
        <v>0.33366024022697255</v>
      </c>
    </row>
    <row r="244" spans="1:28">
      <c r="B244" s="3" t="s">
        <v>1043</v>
      </c>
      <c r="C244" s="3"/>
      <c r="D244" s="3"/>
      <c r="E244" s="3"/>
      <c r="F244" s="3"/>
      <c r="G244" s="3"/>
      <c r="H244" s="8"/>
      <c r="I244" s="8"/>
      <c r="J244" s="8"/>
      <c r="K244" s="8">
        <f t="shared" ref="K244:V244" si="358">K236/K225</f>
        <v>0.41178311307368654</v>
      </c>
      <c r="L244" s="8">
        <f t="shared" si="358"/>
        <v>0.41736547983192884</v>
      </c>
      <c r="M244" s="8">
        <f t="shared" ca="1" si="358"/>
        <v>0.42017469765127258</v>
      </c>
      <c r="N244" s="8">
        <f t="shared" si="358"/>
        <v>0.37939451441007283</v>
      </c>
      <c r="O244" s="8">
        <f t="shared" si="358"/>
        <v>0.297498984874632</v>
      </c>
      <c r="P244" s="8">
        <f t="shared" si="358"/>
        <v>0.31612393191145799</v>
      </c>
      <c r="Q244" s="8">
        <f t="shared" si="358"/>
        <v>0.34509361243203968</v>
      </c>
      <c r="R244" s="8">
        <f t="shared" si="358"/>
        <v>0.35447645307407211</v>
      </c>
      <c r="S244" s="8">
        <f t="shared" si="358"/>
        <v>0.34882826279483742</v>
      </c>
      <c r="T244" s="8">
        <f t="shared" si="358"/>
        <v>0.33054852981643584</v>
      </c>
      <c r="U244" s="8">
        <f t="shared" ca="1" si="358"/>
        <v>0.35424561212170813</v>
      </c>
      <c r="V244" s="8">
        <f t="shared" ca="1" si="358"/>
        <v>0.35256533905810261</v>
      </c>
      <c r="W244" s="8">
        <f t="shared" ref="W244:AA244" ca="1" si="359">W236/W225</f>
        <v>0.35103740090762497</v>
      </c>
      <c r="X244" s="8">
        <f t="shared" ca="1" si="359"/>
        <v>0.34969154141179348</v>
      </c>
      <c r="Y244" s="8">
        <f t="shared" ca="1" si="359"/>
        <v>0.34850478250059963</v>
      </c>
      <c r="Z244" s="8">
        <f t="shared" ca="1" si="359"/>
        <v>0.34745275711681478</v>
      </c>
      <c r="AA244" s="8">
        <f t="shared" ca="1" si="359"/>
        <v>0.34651088194017821</v>
      </c>
      <c r="AB244" s="8">
        <f t="shared" ref="AB244" ca="1" si="360">AB236/AB225</f>
        <v>0.34565523725629649</v>
      </c>
    </row>
    <row r="245" spans="1:28">
      <c r="A245" s="179"/>
      <c r="B245" s="3"/>
      <c r="C245" s="3"/>
      <c r="D245" s="3"/>
      <c r="E245" s="3"/>
      <c r="F245" s="3"/>
      <c r="G245" s="3"/>
      <c r="H245" s="3"/>
      <c r="I245" s="3"/>
      <c r="J245" s="3"/>
      <c r="K245" s="5"/>
      <c r="L245" s="179"/>
      <c r="M245" s="179"/>
      <c r="N245" s="116"/>
      <c r="O245" s="116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>
      <c r="B246" s="3" t="str">
        <f>B238</f>
        <v>Chile mobile</v>
      </c>
      <c r="C246" s="3"/>
      <c r="D246" s="3"/>
      <c r="E246" s="3"/>
      <c r="F246" s="3"/>
      <c r="G246" s="79">
        <f t="shared" ref="G246:V246" si="361">G122</f>
        <v>48307.56</v>
      </c>
      <c r="H246" s="79">
        <f t="shared" si="361"/>
        <v>72662.099999999991</v>
      </c>
      <c r="I246" s="79">
        <f t="shared" si="361"/>
        <v>86901.62</v>
      </c>
      <c r="J246" s="79">
        <f t="shared" si="361"/>
        <v>111202.87999999998</v>
      </c>
      <c r="K246" s="79">
        <f t="shared" si="361"/>
        <v>107097.62999999998</v>
      </c>
      <c r="L246" s="79">
        <f t="shared" si="361"/>
        <v>110246.28999999998</v>
      </c>
      <c r="M246" s="79">
        <f t="shared" si="361"/>
        <v>134987.93999999997</v>
      </c>
      <c r="N246" s="79">
        <f t="shared" si="361"/>
        <v>135159.25</v>
      </c>
      <c r="O246" s="79">
        <f t="shared" si="361"/>
        <v>201369.03625000003</v>
      </c>
      <c r="P246" s="79">
        <f t="shared" si="361"/>
        <v>241542.39999999999</v>
      </c>
      <c r="Q246" s="79">
        <f t="shared" si="361"/>
        <v>173305.2</v>
      </c>
      <c r="R246" s="79">
        <f t="shared" si="361"/>
        <v>144199.6</v>
      </c>
      <c r="S246" s="79">
        <f t="shared" si="361"/>
        <v>154804.4</v>
      </c>
      <c r="T246" s="79">
        <f t="shared" si="361"/>
        <v>172808.40000000002</v>
      </c>
      <c r="U246" s="79">
        <f>U122</f>
        <v>159786.65482371155</v>
      </c>
      <c r="V246" s="79">
        <f t="shared" si="361"/>
        <v>159802.53682192502</v>
      </c>
      <c r="W246" s="79">
        <f t="shared" ref="W246:AA246" si="362">W122</f>
        <v>158037.76956952311</v>
      </c>
      <c r="X246" s="79">
        <f t="shared" si="362"/>
        <v>157020.54580475989</v>
      </c>
      <c r="Y246" s="79">
        <f t="shared" si="362"/>
        <v>139235.43970425168</v>
      </c>
      <c r="Z246" s="79">
        <f t="shared" si="362"/>
        <v>141623.11105342643</v>
      </c>
      <c r="AA246" s="79">
        <f t="shared" si="362"/>
        <v>144501.78825918993</v>
      </c>
      <c r="AB246" s="79">
        <f t="shared" ref="AB246" si="363">AB122</f>
        <v>147821.96343025088</v>
      </c>
    </row>
    <row r="247" spans="1:28">
      <c r="B247" s="3" t="str">
        <f>B239</f>
        <v>Chile fixed</v>
      </c>
      <c r="C247" s="3"/>
      <c r="D247" s="3"/>
      <c r="E247" s="3"/>
      <c r="F247" s="3"/>
      <c r="G247" s="79">
        <f t="shared" ref="G247:V247" si="364">G211</f>
        <v>14450.491392000005</v>
      </c>
      <c r="H247" s="79">
        <f t="shared" si="364"/>
        <v>18063.114240000006</v>
      </c>
      <c r="I247" s="79">
        <f t="shared" si="364"/>
        <v>22578.892800000005</v>
      </c>
      <c r="J247" s="79">
        <f t="shared" si="364"/>
        <v>28223.616000000005</v>
      </c>
      <c r="K247" s="79">
        <f t="shared" si="364"/>
        <v>35279.520000000004</v>
      </c>
      <c r="L247" s="79">
        <f t="shared" si="364"/>
        <v>61722.164999999994</v>
      </c>
      <c r="M247" s="79">
        <f t="shared" si="364"/>
        <v>70387.8</v>
      </c>
      <c r="N247" s="79">
        <f t="shared" si="364"/>
        <v>89382.65</v>
      </c>
      <c r="O247" s="79">
        <f t="shared" si="364"/>
        <v>81754.5</v>
      </c>
      <c r="P247" s="79">
        <f t="shared" si="364"/>
        <v>92266.8</v>
      </c>
      <c r="Q247" s="79">
        <f t="shared" si="364"/>
        <v>90771.599999999991</v>
      </c>
      <c r="R247" s="79">
        <f t="shared" si="364"/>
        <v>88883.86</v>
      </c>
      <c r="S247" s="79">
        <f t="shared" si="364"/>
        <v>92994.98</v>
      </c>
      <c r="T247" s="79">
        <f t="shared" si="364"/>
        <v>96097.040000000008</v>
      </c>
      <c r="U247" s="79">
        <f ca="1">U211</f>
        <v>90789.416681791525</v>
      </c>
      <c r="V247" s="79">
        <f t="shared" ca="1" si="364"/>
        <v>90605.573402302791</v>
      </c>
      <c r="W247" s="79">
        <f t="shared" ref="W247:AA247" ca="1" si="365">W211</f>
        <v>94555.093357737162</v>
      </c>
      <c r="X247" s="79">
        <f t="shared" ca="1" si="365"/>
        <v>98879.466357524187</v>
      </c>
      <c r="Y247" s="79">
        <f t="shared" ca="1" si="365"/>
        <v>103605.44129037987</v>
      </c>
      <c r="Z247" s="79">
        <f t="shared" ca="1" si="365"/>
        <v>104033.49695769798</v>
      </c>
      <c r="AA247" s="79">
        <f t="shared" ca="1" si="365"/>
        <v>99462.604447975915</v>
      </c>
      <c r="AB247" s="79">
        <f t="shared" ref="AB247" ca="1" si="366">AB211</f>
        <v>104782.10690790199</v>
      </c>
    </row>
    <row r="248" spans="1:28">
      <c r="B248" s="3" t="str">
        <f>B240</f>
        <v>Peru fixed</v>
      </c>
      <c r="C248" s="3"/>
      <c r="D248" s="3"/>
      <c r="E248" s="3"/>
      <c r="F248" s="3"/>
      <c r="G248" s="79">
        <f t="shared" ref="G248:V248" si="367">G150</f>
        <v>1547.5498287944458</v>
      </c>
      <c r="H248" s="79">
        <f t="shared" si="367"/>
        <v>1934.4372859930572</v>
      </c>
      <c r="I248" s="79">
        <f t="shared" si="367"/>
        <v>2418.0466074913215</v>
      </c>
      <c r="J248" s="79">
        <f t="shared" si="367"/>
        <v>3022.5582593641516</v>
      </c>
      <c r="K248" s="79">
        <f t="shared" si="367"/>
        <v>3778.1978242051891</v>
      </c>
      <c r="L248" s="79">
        <f t="shared" si="367"/>
        <v>3578.8013205547213</v>
      </c>
      <c r="M248" s="79">
        <f t="shared" si="367"/>
        <v>3918.0375771104386</v>
      </c>
      <c r="N248" s="79">
        <f t="shared" si="367"/>
        <v>3640.8040666588936</v>
      </c>
      <c r="O248" s="79">
        <f t="shared" si="367"/>
        <v>4899.0304170120608</v>
      </c>
      <c r="P248" s="79">
        <f t="shared" si="367"/>
        <v>8807.2939697202546</v>
      </c>
      <c r="Q248" s="79">
        <f t="shared" si="367"/>
        <v>7122.9200458038085</v>
      </c>
      <c r="R248" s="79">
        <f t="shared" si="367"/>
        <v>5194.5621422578442</v>
      </c>
      <c r="S248" s="79">
        <f t="shared" si="367"/>
        <v>5192.6224128848125</v>
      </c>
      <c r="T248" s="79">
        <f t="shared" ca="1" si="367"/>
        <v>4380.937324543148</v>
      </c>
      <c r="U248" s="79">
        <f t="shared" ca="1" si="367"/>
        <v>6133.3122543604068</v>
      </c>
      <c r="V248" s="79">
        <f t="shared" ca="1" si="367"/>
        <v>6083.3122543604068</v>
      </c>
      <c r="W248" s="79">
        <f t="shared" ref="W248:AA248" ca="1" si="368">W150</f>
        <v>6033.3122543604068</v>
      </c>
      <c r="X248" s="79">
        <f t="shared" ca="1" si="368"/>
        <v>5983.3122543604068</v>
      </c>
      <c r="Y248" s="79">
        <f t="shared" ca="1" si="368"/>
        <v>5933.3122543604068</v>
      </c>
      <c r="Z248" s="79">
        <f t="shared" ca="1" si="368"/>
        <v>5883.3122543604068</v>
      </c>
      <c r="AA248" s="79">
        <f t="shared" ca="1" si="368"/>
        <v>5833.3122543604068</v>
      </c>
      <c r="AB248" s="79">
        <f t="shared" ref="AB248" ca="1" si="369">AB150</f>
        <v>5783.3122543604068</v>
      </c>
    </row>
    <row r="249" spans="1:28">
      <c r="B249" s="3" t="s">
        <v>783</v>
      </c>
      <c r="C249" s="3"/>
      <c r="D249" s="3"/>
      <c r="E249" s="3"/>
      <c r="F249" s="3"/>
      <c r="G249" s="79"/>
      <c r="H249" s="79"/>
      <c r="I249" s="79"/>
      <c r="J249" s="79"/>
      <c r="K249" s="79"/>
      <c r="L249" s="79"/>
      <c r="M249" s="79"/>
      <c r="N249" s="79"/>
      <c r="O249" s="81">
        <v>55000</v>
      </c>
      <c r="P249" s="79">
        <f>Peru!P32</f>
        <v>159880</v>
      </c>
      <c r="Q249" s="79">
        <f>Peru!Q32</f>
        <v>157680</v>
      </c>
      <c r="R249" s="79">
        <f>Peru!R32</f>
        <v>104780.00000000001</v>
      </c>
      <c r="S249" s="79">
        <f>Peru!S32</f>
        <v>103839.99999999999</v>
      </c>
      <c r="T249" s="79">
        <f>Peru!T32</f>
        <v>103819.0103343465</v>
      </c>
      <c r="U249" s="79">
        <f>Peru!U32</f>
        <v>110547.96646706587</v>
      </c>
      <c r="V249" s="79">
        <f>Peru!V32</f>
        <v>121924</v>
      </c>
      <c r="W249" s="79">
        <f>Peru!W32</f>
        <v>114697.77268292681</v>
      </c>
      <c r="X249" s="79">
        <f>Peru!X32</f>
        <v>111307.19462215346</v>
      </c>
      <c r="Y249" s="79">
        <f>Peru!Y32</f>
        <v>108016.8453567376</v>
      </c>
      <c r="Z249" s="79">
        <f>Peru!Z32</f>
        <v>104823.76202570427</v>
      </c>
      <c r="AA249" s="79">
        <f>Peru!AA32</f>
        <v>101725.06935313957</v>
      </c>
      <c r="AB249" s="79">
        <f>Peru!AB32</f>
        <v>98717.977059090656</v>
      </c>
    </row>
    <row r="250" spans="1:28">
      <c r="B250" s="3" t="s">
        <v>20</v>
      </c>
      <c r="C250" s="3"/>
      <c r="D250" s="3"/>
      <c r="E250" s="3"/>
      <c r="F250" s="3"/>
      <c r="G250" s="79">
        <f t="shared" ref="G250:N250" si="370">G251-G246-G247-G248</f>
        <v>19657.538779205552</v>
      </c>
      <c r="H250" s="79">
        <f t="shared" si="370"/>
        <v>33633.998474006934</v>
      </c>
      <c r="I250" s="79">
        <f t="shared" si="370"/>
        <v>43574.440592508683</v>
      </c>
      <c r="J250" s="79">
        <f t="shared" si="370"/>
        <v>49462.945740635863</v>
      </c>
      <c r="K250" s="79">
        <f t="shared" si="370"/>
        <v>41860.652175794829</v>
      </c>
      <c r="L250" s="79">
        <f t="shared" si="370"/>
        <v>24828.743679445306</v>
      </c>
      <c r="M250" s="79">
        <f t="shared" si="370"/>
        <v>36806.222422889587</v>
      </c>
      <c r="N250" s="79">
        <f t="shared" si="370"/>
        <v>25063.295933341113</v>
      </c>
      <c r="O250" s="79">
        <f t="shared" ref="O250:T250" si="371">O251-O246-O247-O248-O249</f>
        <v>23102.953787533406</v>
      </c>
      <c r="P250" s="79">
        <f t="shared" si="371"/>
        <v>11423.506030279736</v>
      </c>
      <c r="Q250" s="79">
        <f t="shared" si="371"/>
        <v>4383.2799541962158</v>
      </c>
      <c r="R250" s="79">
        <f t="shared" si="371"/>
        <v>17440.977857742138</v>
      </c>
      <c r="S250" s="79">
        <f t="shared" si="371"/>
        <v>30178.997587115198</v>
      </c>
      <c r="T250" s="79">
        <f t="shared" ca="1" si="371"/>
        <v>54915.612341110333</v>
      </c>
      <c r="U250" s="79">
        <f t="shared" ref="U250:AB250" ca="1" si="372">T250</f>
        <v>54915.612341110333</v>
      </c>
      <c r="V250" s="79">
        <f t="shared" ca="1" si="372"/>
        <v>54915.612341110333</v>
      </c>
      <c r="W250" s="79">
        <f t="shared" ca="1" si="372"/>
        <v>54915.612341110333</v>
      </c>
      <c r="X250" s="79">
        <f t="shared" ca="1" si="372"/>
        <v>54915.612341110333</v>
      </c>
      <c r="Y250" s="79">
        <f t="shared" ca="1" si="372"/>
        <v>54915.612341110333</v>
      </c>
      <c r="Z250" s="79">
        <f t="shared" ca="1" si="372"/>
        <v>54915.612341110333</v>
      </c>
      <c r="AA250" s="79">
        <f t="shared" ca="1" si="372"/>
        <v>54915.612341110333</v>
      </c>
      <c r="AB250" s="79">
        <f t="shared" ca="1" si="372"/>
        <v>54915.612341110333</v>
      </c>
    </row>
    <row r="251" spans="1:28">
      <c r="B251" s="63" t="s">
        <v>178</v>
      </c>
      <c r="C251" s="63"/>
      <c r="D251" s="63"/>
      <c r="E251" s="63"/>
      <c r="F251" s="63"/>
      <c r="G251" s="64">
        <f>115018-G254</f>
        <v>83963.14</v>
      </c>
      <c r="H251" s="64">
        <f>173005-H254</f>
        <v>126293.65</v>
      </c>
      <c r="I251" s="64">
        <v>155473</v>
      </c>
      <c r="J251" s="64">
        <v>191912</v>
      </c>
      <c r="K251" s="88">
        <v>188016</v>
      </c>
      <c r="L251" s="88">
        <v>200376</v>
      </c>
      <c r="M251" s="155">
        <f>SUM(Interims!S164:V164)</f>
        <v>246100</v>
      </c>
      <c r="N251" s="155">
        <f>SUM(Interims!W164:Z164)</f>
        <v>253246</v>
      </c>
      <c r="O251" s="155">
        <f>SUM(Interims!AA164:AD164)</f>
        <v>366125.52045454551</v>
      </c>
      <c r="P251" s="155">
        <f>SUM(Interims!AE164:AH164)</f>
        <v>513920</v>
      </c>
      <c r="Q251" s="155">
        <f>SUM(Interims!AI164:AL164)</f>
        <v>433263</v>
      </c>
      <c r="R251" s="155">
        <f>SUM(Interims!AM164:AP164)</f>
        <v>360499</v>
      </c>
      <c r="S251" s="155">
        <f>SUM(Interims!AQ164:AT164)</f>
        <v>387011</v>
      </c>
      <c r="T251" s="155">
        <f>SUM(Interims!AU164:AX164)</f>
        <v>432021</v>
      </c>
      <c r="U251" s="48">
        <f ca="1">SUM(U246:U250)</f>
        <v>422172.96256803966</v>
      </c>
      <c r="V251" s="48">
        <f t="shared" ref="V251:AA251" ca="1" si="373">SUM(V246:V250)</f>
        <v>433331.03481969854</v>
      </c>
      <c r="W251" s="48">
        <f t="shared" ca="1" si="373"/>
        <v>428239.56020565785</v>
      </c>
      <c r="X251" s="48">
        <f t="shared" ca="1" si="373"/>
        <v>428106.1313799083</v>
      </c>
      <c r="Y251" s="48">
        <f t="shared" ca="1" si="373"/>
        <v>411706.65094683995</v>
      </c>
      <c r="Z251" s="48">
        <f t="shared" ca="1" si="373"/>
        <v>411279.29463229945</v>
      </c>
      <c r="AA251" s="48">
        <f t="shared" ca="1" si="373"/>
        <v>406438.38665577618</v>
      </c>
      <c r="AB251" s="48">
        <f t="shared" ref="AB251" ca="1" si="374">SUM(AB246:AB250)</f>
        <v>412020.97199271433</v>
      </c>
    </row>
    <row r="252" spans="1:28">
      <c r="B252" s="3" t="s">
        <v>85</v>
      </c>
      <c r="C252" s="3"/>
      <c r="D252" s="3"/>
      <c r="E252" s="3"/>
      <c r="F252" s="3"/>
      <c r="G252" s="8">
        <f t="shared" ref="G252:V252" si="375">G251/G221</f>
        <v>9.1731797285317523E-2</v>
      </c>
      <c r="H252" s="8">
        <f t="shared" si="375"/>
        <v>0.13337393892159161</v>
      </c>
      <c r="I252" s="8">
        <f t="shared" si="375"/>
        <v>0.15816609408396773</v>
      </c>
      <c r="J252" s="8">
        <f t="shared" si="375"/>
        <v>0.17987916325333164</v>
      </c>
      <c r="K252" s="8">
        <f t="shared" si="375"/>
        <v>0.18902330519337548</v>
      </c>
      <c r="L252" s="8">
        <f t="shared" si="375"/>
        <v>0.18436975532196803</v>
      </c>
      <c r="M252" s="8">
        <f t="shared" si="375"/>
        <v>0.19832139993472558</v>
      </c>
      <c r="N252" s="8">
        <f t="shared" si="375"/>
        <v>0.17575689435958936</v>
      </c>
      <c r="O252" s="8">
        <f t="shared" si="375"/>
        <v>0.2227135708056581</v>
      </c>
      <c r="P252" s="8">
        <f t="shared" si="375"/>
        <v>0.30883631711249582</v>
      </c>
      <c r="Q252" s="8">
        <f t="shared" si="375"/>
        <v>0.24165971317400539</v>
      </c>
      <c r="R252" s="8">
        <f t="shared" si="375"/>
        <v>0.19216344119036122</v>
      </c>
      <c r="S252" s="8">
        <f t="shared" si="375"/>
        <v>0.19794237841210738</v>
      </c>
      <c r="T252" s="8">
        <f t="shared" si="375"/>
        <v>0.22314004766287657</v>
      </c>
      <c r="U252" s="8">
        <f ca="1">U251/U221</f>
        <v>0.21168097864985791</v>
      </c>
      <c r="V252" s="8">
        <f t="shared" ca="1" si="375"/>
        <v>0.2037436657989993</v>
      </c>
      <c r="W252" s="8">
        <f t="shared" ref="W252:AA252" ca="1" si="376">W251/W221</f>
        <v>0.19686903913469464</v>
      </c>
      <c r="X252" s="8">
        <f t="shared" ca="1" si="376"/>
        <v>0.19286899418568779</v>
      </c>
      <c r="Y252" s="8">
        <f t="shared" ca="1" si="376"/>
        <v>0.18098559390243235</v>
      </c>
      <c r="Z252" s="8">
        <f t="shared" ca="1" si="376"/>
        <v>0.17609124340441584</v>
      </c>
      <c r="AA252" s="8">
        <f t="shared" ca="1" si="376"/>
        <v>0.16920926074149062</v>
      </c>
      <c r="AB252" s="8">
        <f t="shared" ref="AB252" ca="1" si="377">AB251/AB221</f>
        <v>0.16654852907137446</v>
      </c>
    </row>
    <row r="253" spans="1:28">
      <c r="B253" s="95" t="s">
        <v>787</v>
      </c>
      <c r="C253" s="95"/>
      <c r="D253" s="95"/>
      <c r="E253" s="95"/>
      <c r="F253" s="95"/>
      <c r="G253" s="242"/>
      <c r="H253" s="242"/>
      <c r="I253" s="242"/>
      <c r="J253" s="242"/>
      <c r="K253" s="242">
        <f t="shared" ref="K253:V253" si="378">(K251-K249)/(K221-K219)</f>
        <v>0.18902330519337548</v>
      </c>
      <c r="L253" s="242">
        <f t="shared" si="378"/>
        <v>0.18436975532196803</v>
      </c>
      <c r="M253" s="242">
        <f t="shared" si="378"/>
        <v>0.19832139993472558</v>
      </c>
      <c r="N253" s="242">
        <f t="shared" si="378"/>
        <v>0.17575689435958936</v>
      </c>
      <c r="O253" s="242">
        <f t="shared" si="378"/>
        <v>0.19472423867850325</v>
      </c>
      <c r="P253" s="242">
        <f t="shared" si="378"/>
        <v>0.23419216140234828</v>
      </c>
      <c r="Q253" s="242">
        <f t="shared" si="378"/>
        <v>0.17717867346965016</v>
      </c>
      <c r="R253" s="242">
        <f t="shared" si="378"/>
        <v>0.16738735412788308</v>
      </c>
      <c r="S253" s="242">
        <f t="shared" si="378"/>
        <v>0.18941381390862524</v>
      </c>
      <c r="T253" s="242">
        <f t="shared" si="378"/>
        <v>0.22431023630731922</v>
      </c>
      <c r="U253" s="242">
        <f t="shared" ca="1" si="378"/>
        <v>0.21760885282467418</v>
      </c>
      <c r="V253" s="242">
        <f t="shared" ca="1" si="378"/>
        <v>0.21499802715614502</v>
      </c>
      <c r="W253" s="242">
        <f t="shared" ref="W253:AA253" ca="1" si="379">(W251-W249)/(W221-W219)</f>
        <v>0.21325301341444933</v>
      </c>
      <c r="X253" s="242">
        <f t="shared" ca="1" si="379"/>
        <v>0.21139786567993205</v>
      </c>
      <c r="Y253" s="242">
        <f t="shared" ca="1" si="379"/>
        <v>0.19810297189026083</v>
      </c>
      <c r="Z253" s="242">
        <f t="shared" ca="1" si="379"/>
        <v>0.19480044586213177</v>
      </c>
      <c r="AA253" s="242">
        <f t="shared" ca="1" si="379"/>
        <v>0.18822189071586387</v>
      </c>
      <c r="AB253" s="242">
        <f t="shared" ref="AB253" ca="1" si="380">(AB251-AB249)/(AB221-AB219)</f>
        <v>0.18760969001782446</v>
      </c>
    </row>
    <row r="254" spans="1:28">
      <c r="B254" s="2" t="s">
        <v>179</v>
      </c>
      <c r="C254" s="2"/>
      <c r="D254" s="2"/>
      <c r="E254" s="2"/>
      <c r="F254" s="2"/>
      <c r="G254" s="96">
        <f>115018*0.27</f>
        <v>31054.86</v>
      </c>
      <c r="H254" s="96">
        <f>173005*0.27</f>
        <v>46711.350000000006</v>
      </c>
      <c r="I254" s="96">
        <v>65725</v>
      </c>
      <c r="J254" s="96">
        <v>68440</v>
      </c>
      <c r="K254" s="96">
        <v>73011</v>
      </c>
      <c r="L254" s="96">
        <v>90365</v>
      </c>
      <c r="M254" s="96">
        <f>SUM(Interims!S165:V165)</f>
        <v>112326</v>
      </c>
      <c r="N254" s="96">
        <f>SUM(Interims!W165:Z165)</f>
        <v>127679</v>
      </c>
      <c r="O254" s="96">
        <v>0</v>
      </c>
      <c r="P254" s="96">
        <v>0</v>
      </c>
      <c r="Q254" s="96">
        <v>0</v>
      </c>
      <c r="R254" s="96">
        <v>0</v>
      </c>
      <c r="S254" s="96">
        <v>0</v>
      </c>
      <c r="T254" s="96">
        <v>0</v>
      </c>
      <c r="U254" s="96">
        <v>0</v>
      </c>
      <c r="V254" s="96">
        <v>0</v>
      </c>
      <c r="W254" s="96">
        <v>0</v>
      </c>
      <c r="X254" s="96">
        <v>0</v>
      </c>
      <c r="Y254" s="96">
        <v>0</v>
      </c>
      <c r="Z254" s="96">
        <v>0</v>
      </c>
      <c r="AA254" s="96">
        <v>0</v>
      </c>
      <c r="AB254" s="96">
        <v>0</v>
      </c>
    </row>
    <row r="255" spans="1:28">
      <c r="B255" s="95" t="s">
        <v>68</v>
      </c>
      <c r="C255" s="95"/>
      <c r="D255" s="95"/>
      <c r="E255" s="95"/>
      <c r="F255" s="95"/>
      <c r="G255" s="320">
        <f>G251+G254</f>
        <v>115018</v>
      </c>
      <c r="H255" s="320">
        <f>H251+H254</f>
        <v>173005</v>
      </c>
      <c r="I255" s="320">
        <f>I251+I254</f>
        <v>221198</v>
      </c>
      <c r="J255" s="320">
        <f>J251+J254</f>
        <v>260352</v>
      </c>
      <c r="K255" s="320">
        <f t="shared" ref="K255:T255" si="381">K251+K254</f>
        <v>261027</v>
      </c>
      <c r="L255" s="320">
        <f t="shared" si="381"/>
        <v>290741</v>
      </c>
      <c r="M255" s="320">
        <f t="shared" si="381"/>
        <v>358426</v>
      </c>
      <c r="N255" s="320">
        <f t="shared" si="381"/>
        <v>380925</v>
      </c>
      <c r="O255" s="320">
        <f t="shared" si="381"/>
        <v>366125.52045454551</v>
      </c>
      <c r="P255" s="320">
        <f t="shared" si="381"/>
        <v>513920</v>
      </c>
      <c r="Q255" s="320">
        <f t="shared" si="381"/>
        <v>433263</v>
      </c>
      <c r="R255" s="320">
        <f t="shared" si="381"/>
        <v>360499</v>
      </c>
      <c r="S255" s="320">
        <f t="shared" si="381"/>
        <v>387011</v>
      </c>
      <c r="T255" s="320">
        <f t="shared" si="381"/>
        <v>432021</v>
      </c>
      <c r="U255" s="320">
        <f t="shared" ref="U255:AA255" ca="1" si="382">U251+U254</f>
        <v>422172.96256803966</v>
      </c>
      <c r="V255" s="320">
        <f t="shared" ca="1" si="382"/>
        <v>433331.03481969854</v>
      </c>
      <c r="W255" s="320">
        <f t="shared" ca="1" si="382"/>
        <v>428239.56020565785</v>
      </c>
      <c r="X255" s="320">
        <f t="shared" ca="1" si="382"/>
        <v>428106.1313799083</v>
      </c>
      <c r="Y255" s="320">
        <f t="shared" ca="1" si="382"/>
        <v>411706.65094683995</v>
      </c>
      <c r="Z255" s="320">
        <f t="shared" ca="1" si="382"/>
        <v>411279.29463229945</v>
      </c>
      <c r="AA255" s="320">
        <f t="shared" ca="1" si="382"/>
        <v>406438.38665577618</v>
      </c>
      <c r="AB255" s="320">
        <f t="shared" ref="AB255" ca="1" si="383">AB251+AB254</f>
        <v>412020.97199271433</v>
      </c>
    </row>
    <row r="256" spans="1:28">
      <c r="B256" s="3" t="s">
        <v>85</v>
      </c>
      <c r="C256" s="3"/>
      <c r="D256" s="3"/>
      <c r="E256" s="3"/>
      <c r="F256" s="3"/>
      <c r="G256" s="5">
        <f t="shared" ref="G256:V256" si="384">G255/G221</f>
        <v>0.12565999628125687</v>
      </c>
      <c r="H256" s="5">
        <f t="shared" si="384"/>
        <v>0.18270402591998852</v>
      </c>
      <c r="I256" s="5">
        <f t="shared" si="384"/>
        <v>0.22502957863542539</v>
      </c>
      <c r="J256" s="5">
        <f t="shared" si="384"/>
        <v>0.24402799153430424</v>
      </c>
      <c r="K256" s="5">
        <f t="shared" si="384"/>
        <v>0.26242546530460825</v>
      </c>
      <c r="L256" s="5">
        <f t="shared" si="384"/>
        <v>0.26751630450784675</v>
      </c>
      <c r="M256" s="5">
        <f t="shared" si="384"/>
        <v>0.28884008977246628</v>
      </c>
      <c r="N256" s="5">
        <f t="shared" si="384"/>
        <v>0.26436822292919365</v>
      </c>
      <c r="O256" s="5">
        <f t="shared" si="384"/>
        <v>0.2227135708056581</v>
      </c>
      <c r="P256" s="5">
        <f t="shared" si="384"/>
        <v>0.30883631711249582</v>
      </c>
      <c r="Q256" s="5">
        <f t="shared" si="384"/>
        <v>0.24165971317400539</v>
      </c>
      <c r="R256" s="5">
        <f t="shared" si="384"/>
        <v>0.19216344119036122</v>
      </c>
      <c r="S256" s="5">
        <f t="shared" si="384"/>
        <v>0.19794237841210738</v>
      </c>
      <c r="T256" s="5">
        <f t="shared" si="384"/>
        <v>0.22314004766287657</v>
      </c>
      <c r="U256" s="5">
        <f t="shared" ca="1" si="384"/>
        <v>0.21168097864985791</v>
      </c>
      <c r="V256" s="5">
        <f t="shared" ca="1" si="384"/>
        <v>0.2037436657989993</v>
      </c>
      <c r="W256" s="5">
        <f t="shared" ref="W256:AA256" ca="1" si="385">W255/W221</f>
        <v>0.19686903913469464</v>
      </c>
      <c r="X256" s="5">
        <f t="shared" ca="1" si="385"/>
        <v>0.19286899418568779</v>
      </c>
      <c r="Y256" s="5">
        <f t="shared" ca="1" si="385"/>
        <v>0.18098559390243235</v>
      </c>
      <c r="Z256" s="5">
        <f t="shared" ca="1" si="385"/>
        <v>0.17609124340441584</v>
      </c>
      <c r="AA256" s="5">
        <f t="shared" ca="1" si="385"/>
        <v>0.16920926074149062</v>
      </c>
      <c r="AB256" s="5">
        <f t="shared" ref="AB256" ca="1" si="386">AB255/AB221</f>
        <v>0.16654852907137446</v>
      </c>
    </row>
    <row r="257" spans="2:28">
      <c r="B257" s="3" t="s">
        <v>1055</v>
      </c>
      <c r="C257" s="3"/>
      <c r="D257" s="3"/>
      <c r="E257" s="3"/>
      <c r="F257" s="3"/>
      <c r="G257" s="5"/>
      <c r="H257" s="5"/>
      <c r="I257" s="5"/>
      <c r="J257" s="5"/>
      <c r="K257" s="79">
        <f>K246+K247+K250+K254</f>
        <v>257248.80217579479</v>
      </c>
      <c r="L257" s="79">
        <f t="shared" ref="L257:V257" si="387">L246+L247+L250+L254</f>
        <v>287162.19867944525</v>
      </c>
      <c r="M257" s="79">
        <f t="shared" si="387"/>
        <v>354507.96242288954</v>
      </c>
      <c r="N257" s="79">
        <f t="shared" si="387"/>
        <v>377284.19593334111</v>
      </c>
      <c r="O257" s="79">
        <f t="shared" si="387"/>
        <v>306226.4900375334</v>
      </c>
      <c r="P257" s="79">
        <f>P246+P247+P250+P254</f>
        <v>345232.70603027975</v>
      </c>
      <c r="Q257" s="79">
        <f t="shared" si="387"/>
        <v>268460.07995419623</v>
      </c>
      <c r="R257" s="79">
        <f t="shared" si="387"/>
        <v>250524.43785774216</v>
      </c>
      <c r="S257" s="79">
        <f t="shared" si="387"/>
        <v>277978.37758711522</v>
      </c>
      <c r="T257" s="79">
        <f t="shared" ca="1" si="387"/>
        <v>323821.05234111042</v>
      </c>
      <c r="U257" s="79">
        <f t="shared" ca="1" si="387"/>
        <v>305491.68384661339</v>
      </c>
      <c r="V257" s="79">
        <f t="shared" ca="1" si="387"/>
        <v>305323.72256533813</v>
      </c>
      <c r="W257" s="79">
        <f t="shared" ref="W257:AA257" ca="1" si="388">W246+W247+W250+W254</f>
        <v>307508.47526837059</v>
      </c>
      <c r="X257" s="79">
        <f t="shared" ca="1" si="388"/>
        <v>310815.62450339441</v>
      </c>
      <c r="Y257" s="79">
        <f t="shared" ca="1" si="388"/>
        <v>297756.49333574192</v>
      </c>
      <c r="Z257" s="79">
        <f t="shared" ca="1" si="388"/>
        <v>300572.22035223478</v>
      </c>
      <c r="AA257" s="79">
        <f t="shared" ca="1" si="388"/>
        <v>298880.00504827616</v>
      </c>
      <c r="AB257" s="79">
        <f t="shared" ref="AB257" ca="1" si="389">AB246+AB247+AB250+AB254</f>
        <v>307519.68267926318</v>
      </c>
    </row>
    <row r="258" spans="2:28">
      <c r="B258" s="3" t="s">
        <v>85</v>
      </c>
      <c r="C258" s="3"/>
      <c r="D258" s="3"/>
      <c r="E258" s="3"/>
      <c r="F258" s="3"/>
      <c r="G258" s="5"/>
      <c r="H258" s="5"/>
      <c r="I258" s="5"/>
      <c r="J258" s="5"/>
      <c r="K258" s="8">
        <f>K257/K225</f>
        <v>0.26393073663518785</v>
      </c>
      <c r="L258" s="8">
        <f>L257/L225</f>
        <v>0.26902834320566726</v>
      </c>
      <c r="M258" s="8">
        <f>M257/M225</f>
        <v>0.29015980318922213</v>
      </c>
      <c r="N258" s="8">
        <f t="shared" ref="N258:V258" si="390">N257/N225</f>
        <v>0.2655477924638005</v>
      </c>
      <c r="O258" s="8">
        <f t="shared" si="390"/>
        <v>0.19428642399092313</v>
      </c>
      <c r="P258" s="8">
        <f>P257/P225</f>
        <v>0.23227659693889507</v>
      </c>
      <c r="Q258" s="8">
        <f>Q257/Q225</f>
        <v>0.17557690984089533</v>
      </c>
      <c r="R258" s="8">
        <f>R257/R225</f>
        <v>0.16661009648991901</v>
      </c>
      <c r="S258" s="8">
        <f t="shared" si="390"/>
        <v>0.1889368063166319</v>
      </c>
      <c r="T258" s="8">
        <f t="shared" ca="1" si="390"/>
        <v>0.22445316653238967</v>
      </c>
      <c r="U258" s="8">
        <f t="shared" ca="1" si="390"/>
        <v>0.21651053113696234</v>
      </c>
      <c r="V258" s="8">
        <f t="shared" ca="1" si="390"/>
        <v>0.21400355010592706</v>
      </c>
      <c r="W258" s="8">
        <f t="shared" ref="W258:AA258" ca="1" si="391">W257/W225</f>
        <v>0.21237734982996051</v>
      </c>
      <c r="X258" s="8">
        <f t="shared" ca="1" si="391"/>
        <v>0.21064043824892617</v>
      </c>
      <c r="Y258" s="8">
        <f t="shared" ca="1" si="391"/>
        <v>0.19728347359665552</v>
      </c>
      <c r="Z258" s="8">
        <f t="shared" ca="1" si="391"/>
        <v>0.19407302252184092</v>
      </c>
      <c r="AA258" s="8">
        <f t="shared" ca="1" si="391"/>
        <v>0.18753209885512814</v>
      </c>
      <c r="AB258" s="8">
        <f t="shared" ref="AB258" ca="1" si="392">AB257/AB225</f>
        <v>0.18704815620590784</v>
      </c>
    </row>
    <row r="259" spans="2:28">
      <c r="B259" s="3"/>
      <c r="C259" s="3"/>
      <c r="D259" s="3"/>
      <c r="E259" s="3"/>
      <c r="F259" s="3"/>
      <c r="G259" s="5"/>
      <c r="H259" s="5"/>
      <c r="I259" s="5"/>
      <c r="J259" s="5"/>
      <c r="K259" s="79"/>
      <c r="L259" s="79"/>
      <c r="M259" s="79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</row>
    <row r="260" spans="2:28">
      <c r="B260" s="95" t="s">
        <v>1268</v>
      </c>
      <c r="C260" s="3"/>
      <c r="D260" s="3"/>
      <c r="E260" s="3"/>
      <c r="F260" s="3"/>
      <c r="G260" s="5"/>
      <c r="H260" s="5"/>
      <c r="I260" s="5"/>
      <c r="J260" s="5"/>
      <c r="K260" s="5"/>
      <c r="L260" s="5"/>
      <c r="M260" s="5"/>
      <c r="N260" s="5"/>
      <c r="O260" s="79"/>
      <c r="P260" s="79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2:28">
      <c r="B261" s="3" t="s">
        <v>1266</v>
      </c>
      <c r="C261" s="3"/>
      <c r="D261" s="3"/>
      <c r="E261" s="3"/>
      <c r="F261" s="3"/>
      <c r="G261" s="5"/>
      <c r="H261" s="5"/>
      <c r="I261" s="5"/>
      <c r="J261" s="5"/>
      <c r="K261" s="79">
        <f t="shared" ref="K261:V261" si="393">(K255-K249-K248)/K52</f>
        <v>460.19463716600148</v>
      </c>
      <c r="L261" s="79">
        <f t="shared" si="393"/>
        <v>563.0631346655789</v>
      </c>
      <c r="M261" s="79">
        <f t="shared" si="393"/>
        <v>732.45446781588748</v>
      </c>
      <c r="N261" s="79">
        <f t="shared" si="393"/>
        <v>776.30492990399409</v>
      </c>
      <c r="O261" s="79">
        <f t="shared" si="393"/>
        <v>618.63937381319886</v>
      </c>
      <c r="P261" s="79">
        <f t="shared" si="393"/>
        <v>604.61069357316944</v>
      </c>
      <c r="Q261" s="79">
        <f t="shared" si="393"/>
        <v>408.61503798203375</v>
      </c>
      <c r="R261" s="79">
        <f t="shared" si="393"/>
        <v>370.59828085464818</v>
      </c>
      <c r="S261" s="79">
        <f t="shared" si="393"/>
        <v>428.3179932004856</v>
      </c>
      <c r="T261" s="79">
        <f t="shared" ca="1" si="393"/>
        <v>504.39416252509403</v>
      </c>
      <c r="U261" s="79">
        <f ca="1">(U255-U249-U248)/U52</f>
        <v>440.18974617667635</v>
      </c>
      <c r="V261" s="79">
        <f t="shared" ca="1" si="393"/>
        <v>396.52431501991964</v>
      </c>
      <c r="W261" s="79">
        <f t="shared" ref="W261:AA261" ca="1" si="394">(W255-W249-W248)/W52</f>
        <v>393.45975979575286</v>
      </c>
      <c r="X261" s="79">
        <f t="shared" ca="1" si="394"/>
        <v>391.81407478872438</v>
      </c>
      <c r="Y261" s="79">
        <f t="shared" ca="1" si="394"/>
        <v>369.80466827754066</v>
      </c>
      <c r="Z261" s="79">
        <f t="shared" ca="1" si="394"/>
        <v>367.784942958626</v>
      </c>
      <c r="AA261" s="79">
        <f t="shared" ca="1" si="394"/>
        <v>360.30967629006773</v>
      </c>
      <c r="AB261" s="79">
        <f t="shared" ref="AB261" ca="1" si="395">(AB255-AB249-AB248)/AB52</f>
        <v>365.2463958959658</v>
      </c>
    </row>
    <row r="262" spans="2:28">
      <c r="B262" s="3" t="s">
        <v>944</v>
      </c>
      <c r="C262" s="3"/>
      <c r="D262" s="3"/>
      <c r="E262" s="3"/>
      <c r="F262" s="3"/>
      <c r="G262" s="5"/>
      <c r="H262" s="5"/>
      <c r="I262" s="5"/>
      <c r="J262" s="5"/>
      <c r="K262" s="79"/>
      <c r="L262" s="79"/>
      <c r="M262" s="79"/>
      <c r="N262" s="79"/>
      <c r="O262" s="79">
        <f t="shared" ref="O262:T262" si="396">O249/O52</f>
        <v>111.11111111111111</v>
      </c>
      <c r="P262" s="79">
        <f t="shared" si="396"/>
        <v>280</v>
      </c>
      <c r="Q262" s="79">
        <f t="shared" si="396"/>
        <v>240</v>
      </c>
      <c r="R262" s="79">
        <f>R249/R52</f>
        <v>155.00000000000003</v>
      </c>
      <c r="S262" s="79">
        <f t="shared" si="396"/>
        <v>159.99999999999997</v>
      </c>
      <c r="T262" s="79">
        <f t="shared" si="396"/>
        <v>161.71185410334346</v>
      </c>
      <c r="U262" s="79">
        <f>U249/U52</f>
        <v>159.29101796407187</v>
      </c>
      <c r="V262" s="79">
        <f>V249/V52</f>
        <v>158.34285714285716</v>
      </c>
      <c r="W262" s="79">
        <f t="shared" ref="W262:AA262" si="397">W249/W52</f>
        <v>146.75679442508709</v>
      </c>
      <c r="X262" s="79">
        <f t="shared" si="397"/>
        <v>140.31381320642475</v>
      </c>
      <c r="Y262" s="79">
        <f t="shared" si="397"/>
        <v>134.15369457785002</v>
      </c>
      <c r="Z262" s="79">
        <f t="shared" si="397"/>
        <v>128.26402018174929</v>
      </c>
      <c r="AA262" s="79">
        <f t="shared" si="397"/>
        <v>122.63291685669689</v>
      </c>
      <c r="AB262" s="79">
        <f t="shared" ref="AB262" si="398">AB249/AB52</f>
        <v>117.24903270201266</v>
      </c>
    </row>
    <row r="263" spans="2:28">
      <c r="B263" s="2" t="s">
        <v>1267</v>
      </c>
      <c r="C263" s="2"/>
      <c r="D263" s="2"/>
      <c r="E263" s="2"/>
      <c r="F263" s="2"/>
      <c r="G263" s="82"/>
      <c r="H263" s="82"/>
      <c r="I263" s="82"/>
      <c r="J263" s="82"/>
      <c r="K263" s="80">
        <f t="shared" ref="K263:V263" si="399">K248/K52</f>
        <v>6.7588512060915731</v>
      </c>
      <c r="L263" s="80">
        <f t="shared" si="399"/>
        <v>7.0172574912837673</v>
      </c>
      <c r="M263" s="80">
        <f t="shared" si="399"/>
        <v>8.0951189609719805</v>
      </c>
      <c r="N263" s="80">
        <f t="shared" si="399"/>
        <v>7.4913663923022504</v>
      </c>
      <c r="O263" s="80">
        <f t="shared" si="399"/>
        <v>9.8970311454789108</v>
      </c>
      <c r="P263" s="80">
        <f t="shared" si="399"/>
        <v>15.424332696532845</v>
      </c>
      <c r="Q263" s="80">
        <f t="shared" si="399"/>
        <v>10.841583022532433</v>
      </c>
      <c r="R263" s="80">
        <f>R248/R52</f>
        <v>7.6842635240500652</v>
      </c>
      <c r="S263" s="80">
        <f t="shared" si="399"/>
        <v>8.0009590337208198</v>
      </c>
      <c r="T263" s="80">
        <f t="shared" ca="1" si="399"/>
        <v>6.8238899136186104</v>
      </c>
      <c r="U263" s="80">
        <f t="shared" ca="1" si="399"/>
        <v>8.8376257267441023</v>
      </c>
      <c r="V263" s="80">
        <f t="shared" ca="1" si="399"/>
        <v>7.9004055251433858</v>
      </c>
      <c r="W263" s="80">
        <f t="shared" ref="W263:AA263" ca="1" si="400">W248/W52</f>
        <v>7.7196753302545034</v>
      </c>
      <c r="X263" s="80">
        <f t="shared" ca="1" si="400"/>
        <v>7.5425614747004364</v>
      </c>
      <c r="Y263" s="80">
        <f t="shared" ca="1" si="400"/>
        <v>7.3689965428788682</v>
      </c>
      <c r="Z263" s="80">
        <f t="shared" ca="1" si="400"/>
        <v>7.1989143219623539</v>
      </c>
      <c r="AA263" s="80">
        <f t="shared" ca="1" si="400"/>
        <v>7.0322497810718145</v>
      </c>
      <c r="AB263" s="80">
        <f t="shared" ref="AB263" ca="1" si="401">AB248/AB52</f>
        <v>6.8689390508029122</v>
      </c>
    </row>
    <row r="264" spans="2:28">
      <c r="B264" s="3" t="s">
        <v>68</v>
      </c>
      <c r="C264" s="3"/>
      <c r="D264" s="3"/>
      <c r="E264" s="3"/>
      <c r="F264" s="3"/>
      <c r="G264" s="5"/>
      <c r="H264" s="5"/>
      <c r="I264" s="5"/>
      <c r="J264" s="5"/>
      <c r="K264" s="79">
        <f t="shared" ref="K264:V264" si="402">K255/K52</f>
        <v>466.95348837209303</v>
      </c>
      <c r="L264" s="79">
        <f t="shared" si="402"/>
        <v>570.08039215686279</v>
      </c>
      <c r="M264" s="79">
        <f t="shared" si="402"/>
        <v>740.54958677685954</v>
      </c>
      <c r="N264" s="79">
        <f t="shared" si="402"/>
        <v>783.7962962962963</v>
      </c>
      <c r="O264" s="79">
        <f t="shared" si="402"/>
        <v>739.64751606978894</v>
      </c>
      <c r="P264" s="79">
        <f t="shared" si="402"/>
        <v>900.03502626970226</v>
      </c>
      <c r="Q264" s="79">
        <f t="shared" si="402"/>
        <v>659.45662100456616</v>
      </c>
      <c r="R264" s="79">
        <f>R255/R52</f>
        <v>533.28254437869828</v>
      </c>
      <c r="S264" s="79">
        <f t="shared" si="402"/>
        <v>596.31895223420645</v>
      </c>
      <c r="T264" s="79">
        <f t="shared" si="402"/>
        <v>672.92990654205607</v>
      </c>
      <c r="U264" s="79">
        <f t="shared" ca="1" si="402"/>
        <v>608.31838986749233</v>
      </c>
      <c r="V264" s="79">
        <f t="shared" ca="1" si="402"/>
        <v>562.76757768792015</v>
      </c>
      <c r="W264" s="79">
        <f t="shared" ref="W264:AA264" ca="1" si="403">W255/W52</f>
        <v>547.93622955109447</v>
      </c>
      <c r="X264" s="79">
        <f t="shared" ca="1" si="403"/>
        <v>539.67044946984959</v>
      </c>
      <c r="Y264" s="79">
        <f t="shared" ca="1" si="403"/>
        <v>511.32735939826955</v>
      </c>
      <c r="Z264" s="79">
        <f t="shared" ca="1" si="403"/>
        <v>503.24787746233761</v>
      </c>
      <c r="AA264" s="79">
        <f t="shared" ca="1" si="403"/>
        <v>489.97484292783639</v>
      </c>
      <c r="AB264" s="79">
        <f t="shared" ref="AB264" ca="1" si="404">AB255/AB52</f>
        <v>489.36436764878135</v>
      </c>
    </row>
    <row r="265" spans="2:28">
      <c r="B265" s="3"/>
      <c r="C265" s="3"/>
      <c r="D265" s="3"/>
      <c r="E265" s="3"/>
      <c r="F265" s="3"/>
      <c r="G265" s="5"/>
      <c r="H265" s="5"/>
      <c r="I265" s="5"/>
      <c r="J265" s="5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411">
        <v>3500</v>
      </c>
    </row>
    <row r="266" spans="2:28">
      <c r="B266" s="95"/>
      <c r="C266" s="95"/>
      <c r="D266" s="95"/>
      <c r="E266" s="95"/>
      <c r="F266" s="95"/>
      <c r="G266" s="302"/>
      <c r="H266" s="302"/>
      <c r="I266" s="302"/>
      <c r="J266" s="302"/>
      <c r="K266" s="302"/>
      <c r="L266" s="302"/>
      <c r="M266" s="302"/>
      <c r="N266" s="302"/>
      <c r="O266" s="320"/>
      <c r="P266" s="320"/>
      <c r="Q266" s="320"/>
      <c r="R266" s="320"/>
      <c r="S266" s="302"/>
      <c r="T266" s="302"/>
      <c r="U266" s="302"/>
      <c r="V266" s="79">
        <f ca="1">SUM(R264:V264)</f>
        <v>2973.6173707103731</v>
      </c>
    </row>
    <row r="267" spans="2:28">
      <c r="B267" s="173" t="str">
        <f>B246</f>
        <v>Chile mobile</v>
      </c>
      <c r="C267" s="3"/>
      <c r="D267" s="3"/>
      <c r="E267" s="3"/>
      <c r="F267" s="3"/>
      <c r="G267" s="174">
        <f t="shared" ref="G267:V267" si="405">G246/G$255</f>
        <v>0.42</v>
      </c>
      <c r="H267" s="174">
        <f t="shared" si="405"/>
        <v>0.41999999999999993</v>
      </c>
      <c r="I267" s="174">
        <f t="shared" si="405"/>
        <v>0.39286801869817989</v>
      </c>
      <c r="J267" s="174">
        <f t="shared" si="405"/>
        <v>0.42712512291052107</v>
      </c>
      <c r="K267" s="174">
        <f t="shared" si="405"/>
        <v>0.41029330299164446</v>
      </c>
      <c r="L267" s="174">
        <f t="shared" si="405"/>
        <v>0.37919072301464185</v>
      </c>
      <c r="M267" s="174">
        <f t="shared" si="405"/>
        <v>0.37661313632381571</v>
      </c>
      <c r="N267" s="174">
        <f t="shared" si="405"/>
        <v>0.3548185338321192</v>
      </c>
      <c r="O267" s="174">
        <f t="shared" si="405"/>
        <v>0.55000000000000004</v>
      </c>
      <c r="P267" s="174">
        <f>P246/P$255</f>
        <v>0.47</v>
      </c>
      <c r="Q267" s="174">
        <f t="shared" si="405"/>
        <v>0.4</v>
      </c>
      <c r="R267" s="174">
        <f t="shared" si="405"/>
        <v>0.4</v>
      </c>
      <c r="S267" s="174">
        <f t="shared" si="405"/>
        <v>0.39999999999999997</v>
      </c>
      <c r="T267" s="174">
        <f t="shared" si="405"/>
        <v>0.40000000000000008</v>
      </c>
      <c r="U267" s="174">
        <f t="shared" ca="1" si="405"/>
        <v>0.37848623429540323</v>
      </c>
      <c r="V267" s="174">
        <f t="shared" ca="1" si="405"/>
        <v>0.36877704106380488</v>
      </c>
      <c r="W267" s="174">
        <f t="shared" ref="W267:AA267" ca="1" si="406">W246/W$255</f>
        <v>0.36904056573761429</v>
      </c>
      <c r="X267" s="174">
        <f t="shared" ca="1" si="406"/>
        <v>0.36677948362626306</v>
      </c>
      <c r="Y267" s="174">
        <f t="shared" ca="1" si="406"/>
        <v>0.33819089243285</v>
      </c>
      <c r="Z267" s="174">
        <f t="shared" ca="1" si="406"/>
        <v>0.34434777753653584</v>
      </c>
      <c r="AA267" s="174">
        <f t="shared" ca="1" si="406"/>
        <v>0.35553184198020266</v>
      </c>
      <c r="AB267" s="174">
        <f t="shared" ref="AB267" ca="1" si="407">AB246/AB$255</f>
        <v>0.35877291079461066</v>
      </c>
    </row>
    <row r="268" spans="2:28">
      <c r="B268" s="173" t="str">
        <f>B247</f>
        <v>Chile fixed</v>
      </c>
      <c r="C268" s="3"/>
      <c r="D268" s="3"/>
      <c r="E268" s="3"/>
      <c r="F268" s="3"/>
      <c r="G268" s="174">
        <f t="shared" ref="G268:V268" si="408">G247/G$255</f>
        <v>0.12563678199933928</v>
      </c>
      <c r="H268" s="174">
        <f t="shared" si="408"/>
        <v>0.1044080473974741</v>
      </c>
      <c r="I268" s="174">
        <f t="shared" si="408"/>
        <v>0.1020754835034675</v>
      </c>
      <c r="J268" s="174">
        <f t="shared" si="408"/>
        <v>0.10840560471976403</v>
      </c>
      <c r="K268" s="174">
        <f t="shared" si="408"/>
        <v>0.13515659299612684</v>
      </c>
      <c r="L268" s="174">
        <f t="shared" si="408"/>
        <v>0.21229260750977672</v>
      </c>
      <c r="M268" s="174">
        <f t="shared" si="408"/>
        <v>0.19638028491236686</v>
      </c>
      <c r="N268" s="174">
        <f t="shared" si="408"/>
        <v>0.23464632145435452</v>
      </c>
      <c r="O268" s="174">
        <f t="shared" si="408"/>
        <v>0.22329637086893489</v>
      </c>
      <c r="P268" s="174">
        <f>P247/P$255</f>
        <v>0.17953533623910337</v>
      </c>
      <c r="Q268" s="174">
        <f t="shared" si="408"/>
        <v>0.20950692766287449</v>
      </c>
      <c r="R268" s="174">
        <f t="shared" si="408"/>
        <v>0.24655785452941617</v>
      </c>
      <c r="S268" s="174">
        <f t="shared" si="408"/>
        <v>0.24029027598698743</v>
      </c>
      <c r="T268" s="174">
        <f t="shared" si="408"/>
        <v>0.22243603898884548</v>
      </c>
      <c r="U268" s="174">
        <f t="shared" ca="1" si="408"/>
        <v>0.21505265550291941</v>
      </c>
      <c r="V268" s="174">
        <f t="shared" ca="1" si="408"/>
        <v>0.20909089384747664</v>
      </c>
      <c r="W268" s="174">
        <f t="shared" ref="W268:AA268" ca="1" si="409">W247/W$255</f>
        <v>0.22079952938567377</v>
      </c>
      <c r="X268" s="174">
        <f t="shared" ca="1" si="409"/>
        <v>0.23096951692517795</v>
      </c>
      <c r="Y268" s="174">
        <f t="shared" ca="1" si="409"/>
        <v>0.25164869465214817</v>
      </c>
      <c r="Z268" s="174">
        <f t="shared" ca="1" si="409"/>
        <v>0.25295097106871911</v>
      </c>
      <c r="AA268" s="174">
        <f t="shared" ca="1" si="409"/>
        <v>0.24471754566876952</v>
      </c>
      <c r="AB268" s="174">
        <f t="shared" ref="AB268" ca="1" si="410">AB247/AB$255</f>
        <v>0.25431255695827742</v>
      </c>
    </row>
    <row r="269" spans="2:28">
      <c r="B269" s="173" t="str">
        <f>B248</f>
        <v>Peru fixed</v>
      </c>
      <c r="C269" s="3"/>
      <c r="D269" s="3"/>
      <c r="E269" s="3"/>
      <c r="F269" s="3"/>
      <c r="G269" s="174">
        <f t="shared" ref="G269:V269" si="411">G248/G$255</f>
        <v>1.3454849056621102E-2</v>
      </c>
      <c r="H269" s="174">
        <f t="shared" si="411"/>
        <v>1.1181395254432284E-2</v>
      </c>
      <c r="I269" s="174">
        <f t="shared" si="411"/>
        <v>1.0931593447912375E-2</v>
      </c>
      <c r="J269" s="174">
        <f t="shared" si="411"/>
        <v>1.1609506588634431E-2</v>
      </c>
      <c r="K269" s="174">
        <f t="shared" si="411"/>
        <v>1.4474356385374651E-2</v>
      </c>
      <c r="L269" s="174">
        <f t="shared" si="411"/>
        <v>1.2309241973284544E-2</v>
      </c>
      <c r="M269" s="174">
        <f t="shared" si="411"/>
        <v>1.0931231487421221E-2</v>
      </c>
      <c r="N269" s="174">
        <f t="shared" si="411"/>
        <v>9.557797641685092E-3</v>
      </c>
      <c r="O269" s="174">
        <f t="shared" si="411"/>
        <v>1.3380740055841793E-2</v>
      </c>
      <c r="P269" s="174">
        <f t="shared" si="411"/>
        <v>1.7137480482799373E-2</v>
      </c>
      <c r="Q269" s="174">
        <f t="shared" si="411"/>
        <v>1.6440176165063273E-2</v>
      </c>
      <c r="R269" s="174">
        <f t="shared" si="411"/>
        <v>1.4409366301315243E-2</v>
      </c>
      <c r="S269" s="174">
        <f t="shared" si="411"/>
        <v>1.3417247605067588E-2</v>
      </c>
      <c r="T269" s="174">
        <f t="shared" ca="1" si="411"/>
        <v>1.0140565677462781E-2</v>
      </c>
      <c r="U269" s="174">
        <f t="shared" ca="1" si="411"/>
        <v>1.4527960807940015E-2</v>
      </c>
      <c r="V269" s="174">
        <f t="shared" ca="1" si="411"/>
        <v>1.4038487358496181E-2</v>
      </c>
      <c r="W269" s="174">
        <f t="shared" ref="W269:AA269" ca="1" si="412">W248/W$255</f>
        <v>1.4088638264673558E-2</v>
      </c>
      <c r="X269" s="174">
        <f t="shared" ca="1" si="412"/>
        <v>1.3976235834498522E-2</v>
      </c>
      <c r="Y269" s="174">
        <f t="shared" ca="1" si="412"/>
        <v>1.4411504503789333E-2</v>
      </c>
      <c r="Z269" s="174">
        <f t="shared" ca="1" si="412"/>
        <v>1.4304907470774402E-2</v>
      </c>
      <c r="AA269" s="174">
        <f t="shared" ca="1" si="412"/>
        <v>1.4352267024671562E-2</v>
      </c>
      <c r="AB269" s="174">
        <f t="shared" ref="AB269" ca="1" si="413">AB248/AB$255</f>
        <v>1.4036451169924117E-2</v>
      </c>
    </row>
    <row r="270" spans="2:28">
      <c r="B270" s="173" t="s">
        <v>783</v>
      </c>
      <c r="C270" s="3"/>
      <c r="D270" s="3"/>
      <c r="E270" s="3"/>
      <c r="F270" s="3"/>
      <c r="G270" s="174"/>
      <c r="H270" s="174"/>
      <c r="I270" s="174"/>
      <c r="J270" s="174"/>
      <c r="K270" s="174"/>
      <c r="L270" s="174"/>
      <c r="M270" s="174"/>
      <c r="N270" s="174"/>
      <c r="O270" s="174">
        <f t="shared" ref="O270:AA270" si="414">O249/O$255</f>
        <v>0.15022170520022041</v>
      </c>
      <c r="P270" s="174">
        <f t="shared" si="414"/>
        <v>0.31109900373599003</v>
      </c>
      <c r="Q270" s="174">
        <f t="shared" si="414"/>
        <v>0.363935992688044</v>
      </c>
      <c r="R270" s="174">
        <f t="shared" si="414"/>
        <v>0.2906526786482071</v>
      </c>
      <c r="S270" s="174">
        <f t="shared" si="414"/>
        <v>0.26831278697504718</v>
      </c>
      <c r="T270" s="174">
        <f t="shared" si="414"/>
        <v>0.24031010144031539</v>
      </c>
      <c r="U270" s="174">
        <f t="shared" ca="1" si="414"/>
        <v>0.26185468106392379</v>
      </c>
      <c r="V270" s="174">
        <f t="shared" ca="1" si="414"/>
        <v>0.28136456935453619</v>
      </c>
      <c r="W270" s="174">
        <f t="shared" ca="1" si="414"/>
        <v>0.26783553725826809</v>
      </c>
      <c r="X270" s="174">
        <f t="shared" ca="1" si="414"/>
        <v>0.25999906673464029</v>
      </c>
      <c r="Y270" s="174">
        <f t="shared" ca="1" si="414"/>
        <v>0.26236361523021612</v>
      </c>
      <c r="Z270" s="174">
        <f t="shared" ca="1" si="414"/>
        <v>0.25487245138226811</v>
      </c>
      <c r="AA270" s="174">
        <f t="shared" ca="1" si="414"/>
        <v>0.25028410871853329</v>
      </c>
      <c r="AB270" s="174">
        <f t="shared" ref="AB270" ca="1" si="415">AB249/AB$255</f>
        <v>0.2395945443787659</v>
      </c>
    </row>
    <row r="271" spans="2:28">
      <c r="B271" s="173" t="str">
        <f>B250</f>
        <v>Other</v>
      </c>
      <c r="C271" s="3"/>
      <c r="D271" s="3"/>
      <c r="E271" s="3"/>
      <c r="F271" s="3"/>
      <c r="G271" s="174">
        <f t="shared" ref="G271:N271" si="416">G250/G$255</f>
        <v>0.17090836894403966</v>
      </c>
      <c r="H271" s="174">
        <f t="shared" si="416"/>
        <v>0.19441055734809359</v>
      </c>
      <c r="I271" s="174">
        <f t="shared" si="416"/>
        <v>0.19699292304862018</v>
      </c>
      <c r="J271" s="174">
        <f t="shared" si="416"/>
        <v>0.1899848886916016</v>
      </c>
      <c r="K271" s="174">
        <f t="shared" si="416"/>
        <v>0.16036905061849857</v>
      </c>
      <c r="L271" s="174">
        <f t="shared" si="416"/>
        <v>8.5398150516938803E-2</v>
      </c>
      <c r="M271" s="174">
        <f t="shared" si="416"/>
        <v>0.102688483600212</v>
      </c>
      <c r="N271" s="174">
        <f t="shared" si="416"/>
        <v>6.5795880903960394E-2</v>
      </c>
      <c r="O271" s="174">
        <f t="shared" ref="O271:AA271" si="417">O250/O$255</f>
        <v>6.3101183875002881E-2</v>
      </c>
      <c r="P271" s="174">
        <f t="shared" si="417"/>
        <v>2.2228179542107207E-2</v>
      </c>
      <c r="Q271" s="174">
        <f t="shared" si="417"/>
        <v>1.0116903484018289E-2</v>
      </c>
      <c r="R271" s="174">
        <f t="shared" si="417"/>
        <v>4.8380100521061467E-2</v>
      </c>
      <c r="S271" s="174">
        <f t="shared" si="417"/>
        <v>7.7979689432897764E-2</v>
      </c>
      <c r="T271" s="174">
        <f t="shared" ca="1" si="417"/>
        <v>0.12711329389337633</v>
      </c>
      <c r="U271" s="174">
        <f t="shared" ca="1" si="417"/>
        <v>0.1300784683298136</v>
      </c>
      <c r="V271" s="174">
        <f t="shared" ca="1" si="417"/>
        <v>0.12672900837568618</v>
      </c>
      <c r="W271" s="174">
        <f t="shared" ca="1" si="417"/>
        <v>0.12823572935377023</v>
      </c>
      <c r="X271" s="174">
        <f t="shared" ca="1" si="417"/>
        <v>0.12827569687942014</v>
      </c>
      <c r="Y271" s="174">
        <f t="shared" ca="1" si="417"/>
        <v>0.13338529318099626</v>
      </c>
      <c r="Z271" s="174">
        <f t="shared" ca="1" si="417"/>
        <v>0.13352389254170244</v>
      </c>
      <c r="AA271" s="174">
        <f t="shared" ca="1" si="417"/>
        <v>0.13511423660782285</v>
      </c>
      <c r="AB271" s="174">
        <f t="shared" ref="AB271" ca="1" si="418">AB250/AB$255</f>
        <v>0.13328353669842172</v>
      </c>
    </row>
    <row r="272" spans="2:28">
      <c r="B272" s="175" t="str">
        <f>B254</f>
        <v>Handsets</v>
      </c>
      <c r="C272" s="2"/>
      <c r="D272" s="2"/>
      <c r="E272" s="2"/>
      <c r="F272" s="2"/>
      <c r="G272" s="176">
        <f t="shared" ref="G272:V272" si="419">G254/G$255</f>
        <v>0.27</v>
      </c>
      <c r="H272" s="176">
        <f t="shared" si="419"/>
        <v>0.27</v>
      </c>
      <c r="I272" s="176">
        <f t="shared" si="419"/>
        <v>0.29713198130182011</v>
      </c>
      <c r="J272" s="176">
        <f t="shared" si="419"/>
        <v>0.26287487708947888</v>
      </c>
      <c r="K272" s="176">
        <f t="shared" si="419"/>
        <v>0.27970669700835543</v>
      </c>
      <c r="L272" s="176">
        <f t="shared" si="419"/>
        <v>0.3108092769853581</v>
      </c>
      <c r="M272" s="176">
        <f t="shared" si="419"/>
        <v>0.31338686367618418</v>
      </c>
      <c r="N272" s="176">
        <f t="shared" si="419"/>
        <v>0.3351814661678808</v>
      </c>
      <c r="O272" s="176">
        <f t="shared" si="419"/>
        <v>0</v>
      </c>
      <c r="P272" s="176">
        <f>P254/P$255</f>
        <v>0</v>
      </c>
      <c r="Q272" s="176">
        <f t="shared" si="419"/>
        <v>0</v>
      </c>
      <c r="R272" s="176">
        <f t="shared" si="419"/>
        <v>0</v>
      </c>
      <c r="S272" s="176">
        <f t="shared" si="419"/>
        <v>0</v>
      </c>
      <c r="T272" s="176">
        <f t="shared" si="419"/>
        <v>0</v>
      </c>
      <c r="U272" s="176">
        <f t="shared" ca="1" si="419"/>
        <v>0</v>
      </c>
      <c r="V272" s="176">
        <f t="shared" ca="1" si="419"/>
        <v>0</v>
      </c>
      <c r="W272" s="176">
        <f t="shared" ref="W272:AA272" ca="1" si="420">W254/W$255</f>
        <v>0</v>
      </c>
      <c r="X272" s="176">
        <f t="shared" ca="1" si="420"/>
        <v>0</v>
      </c>
      <c r="Y272" s="176">
        <f t="shared" ca="1" si="420"/>
        <v>0</v>
      </c>
      <c r="Z272" s="176">
        <f t="shared" ca="1" si="420"/>
        <v>0</v>
      </c>
      <c r="AA272" s="176">
        <f t="shared" ca="1" si="420"/>
        <v>0</v>
      </c>
      <c r="AB272" s="176">
        <f t="shared" ref="AB272" ca="1" si="421">AB254/AB$255</f>
        <v>0</v>
      </c>
    </row>
    <row r="273" spans="2:28">
      <c r="B273" s="173" t="str">
        <f>B255</f>
        <v>Total</v>
      </c>
      <c r="C273" s="3"/>
      <c r="D273" s="3"/>
      <c r="E273" s="3"/>
      <c r="F273" s="3"/>
      <c r="G273" s="174">
        <f t="shared" ref="G273:V273" si="422">G255/G$255</f>
        <v>1</v>
      </c>
      <c r="H273" s="174">
        <f t="shared" si="422"/>
        <v>1</v>
      </c>
      <c r="I273" s="174">
        <f t="shared" si="422"/>
        <v>1</v>
      </c>
      <c r="J273" s="174">
        <f t="shared" si="422"/>
        <v>1</v>
      </c>
      <c r="K273" s="174">
        <f t="shared" si="422"/>
        <v>1</v>
      </c>
      <c r="L273" s="174">
        <f t="shared" si="422"/>
        <v>1</v>
      </c>
      <c r="M273" s="174">
        <f t="shared" si="422"/>
        <v>1</v>
      </c>
      <c r="N273" s="174">
        <f t="shared" si="422"/>
        <v>1</v>
      </c>
      <c r="O273" s="174">
        <f t="shared" si="422"/>
        <v>1</v>
      </c>
      <c r="P273" s="174">
        <f>P255/P$255</f>
        <v>1</v>
      </c>
      <c r="Q273" s="174">
        <f t="shared" si="422"/>
        <v>1</v>
      </c>
      <c r="R273" s="174">
        <f t="shared" si="422"/>
        <v>1</v>
      </c>
      <c r="S273" s="174">
        <f t="shared" si="422"/>
        <v>1</v>
      </c>
      <c r="T273" s="174">
        <f t="shared" si="422"/>
        <v>1</v>
      </c>
      <c r="U273" s="174">
        <f t="shared" ca="1" si="422"/>
        <v>1</v>
      </c>
      <c r="V273" s="174">
        <f t="shared" ca="1" si="422"/>
        <v>1</v>
      </c>
      <c r="W273" s="174">
        <f t="shared" ref="W273:AA273" ca="1" si="423">W255/W$255</f>
        <v>1</v>
      </c>
      <c r="X273" s="174">
        <f t="shared" ca="1" si="423"/>
        <v>1</v>
      </c>
      <c r="Y273" s="174">
        <f t="shared" ca="1" si="423"/>
        <v>1</v>
      </c>
      <c r="Z273" s="174">
        <f t="shared" ca="1" si="423"/>
        <v>1</v>
      </c>
      <c r="AA273" s="174">
        <f t="shared" ca="1" si="423"/>
        <v>1</v>
      </c>
      <c r="AB273" s="174">
        <f t="shared" ref="AB273" ca="1" si="424">AB255/AB$255</f>
        <v>1</v>
      </c>
    </row>
    <row r="274" spans="2:28">
      <c r="B274" s="303" t="s">
        <v>423</v>
      </c>
      <c r="C274" s="304"/>
      <c r="D274" s="304"/>
      <c r="E274" s="304"/>
      <c r="F274" s="304"/>
      <c r="G274" s="305">
        <f t="shared" ref="G274:L274" si="425">G267+G272</f>
        <v>0.69</v>
      </c>
      <c r="H274" s="305">
        <f t="shared" si="425"/>
        <v>0.69</v>
      </c>
      <c r="I274" s="305">
        <f t="shared" si="425"/>
        <v>0.69</v>
      </c>
      <c r="J274" s="305">
        <f t="shared" si="425"/>
        <v>0.69</v>
      </c>
      <c r="K274" s="305">
        <f t="shared" si="425"/>
        <v>0.69</v>
      </c>
      <c r="L274" s="305">
        <f t="shared" si="425"/>
        <v>0.69</v>
      </c>
      <c r="M274" s="305">
        <f t="shared" ref="M274:T274" si="426">M267+M272</f>
        <v>0.69</v>
      </c>
      <c r="N274" s="305">
        <f t="shared" si="426"/>
        <v>0.69</v>
      </c>
      <c r="O274" s="305">
        <f t="shared" si="426"/>
        <v>0.55000000000000004</v>
      </c>
      <c r="P274" s="305">
        <f t="shared" si="426"/>
        <v>0.47</v>
      </c>
      <c r="Q274" s="305">
        <f t="shared" si="426"/>
        <v>0.4</v>
      </c>
      <c r="R274" s="305">
        <f t="shared" si="426"/>
        <v>0.4</v>
      </c>
      <c r="S274" s="305">
        <f t="shared" si="426"/>
        <v>0.39999999999999997</v>
      </c>
      <c r="T274" s="305">
        <f t="shared" si="426"/>
        <v>0.40000000000000008</v>
      </c>
      <c r="U274" s="305">
        <f t="shared" ref="U274:AA274" ca="1" si="427">U267+U272</f>
        <v>0.37848623429540323</v>
      </c>
      <c r="V274" s="305">
        <f t="shared" ca="1" si="427"/>
        <v>0.36877704106380488</v>
      </c>
      <c r="W274" s="305">
        <f t="shared" ca="1" si="427"/>
        <v>0.36904056573761429</v>
      </c>
      <c r="X274" s="305">
        <f t="shared" ca="1" si="427"/>
        <v>0.36677948362626306</v>
      </c>
      <c r="Y274" s="305">
        <f t="shared" ca="1" si="427"/>
        <v>0.33819089243285</v>
      </c>
      <c r="Z274" s="305">
        <f t="shared" ca="1" si="427"/>
        <v>0.34434777753653584</v>
      </c>
      <c r="AA274" s="305">
        <f t="shared" ca="1" si="427"/>
        <v>0.35553184198020266</v>
      </c>
      <c r="AB274" s="305">
        <f t="shared" ref="AB274" ca="1" si="428">AB267+AB272</f>
        <v>0.35877291079461066</v>
      </c>
    </row>
    <row r="275" spans="2:28">
      <c r="B275" s="170"/>
      <c r="C275" s="3"/>
      <c r="D275" s="3"/>
      <c r="E275" s="3"/>
      <c r="F275" s="3"/>
      <c r="G275" s="3"/>
      <c r="H275" s="3"/>
      <c r="I275" s="3"/>
      <c r="J275" s="3"/>
      <c r="K275" s="171"/>
      <c r="L275" s="171"/>
      <c r="M275" s="79"/>
      <c r="N275" s="79"/>
      <c r="O275" s="79"/>
      <c r="P275" s="79"/>
      <c r="Q275" s="79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2:28">
      <c r="B276" s="3" t="str">
        <f>B246</f>
        <v>Chile mobile</v>
      </c>
      <c r="C276" s="3"/>
      <c r="D276" s="3"/>
      <c r="E276" s="3"/>
      <c r="F276" s="3"/>
      <c r="G276" s="3"/>
      <c r="H276" s="3"/>
      <c r="I276" s="3"/>
      <c r="J276" s="3"/>
      <c r="K276" s="79">
        <f t="shared" ref="K276:V276" si="429">K228-K246</f>
        <v>196963.37000000002</v>
      </c>
      <c r="L276" s="79">
        <f t="shared" si="429"/>
        <v>224014.71000000002</v>
      </c>
      <c r="M276" s="79">
        <f t="shared" ca="1" si="429"/>
        <v>261360.06000000003</v>
      </c>
      <c r="N276" s="79">
        <f t="shared" si="429"/>
        <v>285614.75</v>
      </c>
      <c r="O276" s="79">
        <f t="shared" si="429"/>
        <v>146848.96374999997</v>
      </c>
      <c r="P276" s="79">
        <f t="shared" si="429"/>
        <v>165304.6</v>
      </c>
      <c r="Q276" s="79">
        <f t="shared" si="429"/>
        <v>283891.8</v>
      </c>
      <c r="R276" s="79">
        <f t="shared" si="429"/>
        <v>295698.40000000002</v>
      </c>
      <c r="S276" s="79">
        <f t="shared" si="429"/>
        <v>260013.6</v>
      </c>
      <c r="T276" s="79">
        <f t="shared" si="429"/>
        <v>197897.59999999998</v>
      </c>
      <c r="U276" s="79">
        <f t="shared" si="429"/>
        <v>232416.95247085311</v>
      </c>
      <c r="V276" s="79">
        <f t="shared" si="429"/>
        <v>232440.0535591637</v>
      </c>
      <c r="W276" s="79">
        <f t="shared" ref="W276:AA276" si="430">W228-W246</f>
        <v>235840.97920374986</v>
      </c>
      <c r="X276" s="79">
        <f t="shared" si="430"/>
        <v>240437.71076353855</v>
      </c>
      <c r="Y276" s="79">
        <f t="shared" si="430"/>
        <v>263552.79658304784</v>
      </c>
      <c r="Z276" s="79">
        <f t="shared" si="430"/>
        <v>268072.31735112856</v>
      </c>
      <c r="AA276" s="79">
        <f t="shared" si="430"/>
        <v>273521.2420620381</v>
      </c>
      <c r="AB276" s="79">
        <f t="shared" ref="AB276" si="431">AB228-AB246</f>
        <v>279805.85935011768</v>
      </c>
    </row>
    <row r="277" spans="2:28">
      <c r="B277" s="3" t="str">
        <f>B247</f>
        <v>Chile fixed</v>
      </c>
      <c r="C277" s="3"/>
      <c r="D277" s="3"/>
      <c r="E277" s="3"/>
      <c r="F277" s="3"/>
      <c r="G277" s="3"/>
      <c r="H277" s="3"/>
      <c r="I277" s="79"/>
      <c r="J277" s="3"/>
      <c r="K277" s="79">
        <f t="shared" ref="K277:V277" si="432">K229-K247</f>
        <v>60257.479999999996</v>
      </c>
      <c r="L277" s="79">
        <f t="shared" si="432"/>
        <v>47465.835000000006</v>
      </c>
      <c r="M277" s="79">
        <f t="shared" si="432"/>
        <v>43913.2</v>
      </c>
      <c r="N277" s="79">
        <f t="shared" si="432"/>
        <v>27833.350000000006</v>
      </c>
      <c r="O277" s="79">
        <f t="shared" si="432"/>
        <v>43064.5</v>
      </c>
      <c r="P277" s="79">
        <f t="shared" si="432"/>
        <v>-48222.8</v>
      </c>
      <c r="Q277" s="79">
        <f t="shared" si="432"/>
        <v>-24845.599999999991</v>
      </c>
      <c r="R277" s="79">
        <f t="shared" si="432"/>
        <v>-2999.8600000000006</v>
      </c>
      <c r="S277" s="79">
        <f t="shared" si="432"/>
        <v>-2001.9799999999959</v>
      </c>
      <c r="T277" s="79">
        <f t="shared" si="432"/>
        <v>1651.9599999999919</v>
      </c>
      <c r="U277" s="79">
        <f t="shared" ca="1" si="432"/>
        <v>7565.7847234826477</v>
      </c>
      <c r="V277" s="79">
        <f t="shared" ca="1" si="432"/>
        <v>11818.118269865576</v>
      </c>
      <c r="W277" s="79">
        <f t="shared" ref="W277:AA277" ca="1" si="433">W229-W247</f>
        <v>12333.273046661358</v>
      </c>
      <c r="X277" s="79">
        <f t="shared" ca="1" si="433"/>
        <v>12897.321698807515</v>
      </c>
      <c r="Y277" s="79">
        <f t="shared" ca="1" si="433"/>
        <v>13513.753211788673</v>
      </c>
      <c r="Z277" s="79">
        <f t="shared" ca="1" si="433"/>
        <v>18915.181265035993</v>
      </c>
      <c r="AA277" s="79">
        <f t="shared" ca="1" si="433"/>
        <v>29838.78133439277</v>
      </c>
      <c r="AB277" s="79">
        <f t="shared" ref="AB277" ca="1" si="434">AB229-AB247</f>
        <v>31434.632072370587</v>
      </c>
    </row>
    <row r="278" spans="2:28">
      <c r="B278" s="3" t="str">
        <f>B248</f>
        <v>Peru fixed</v>
      </c>
      <c r="C278" s="3"/>
      <c r="D278" s="3"/>
      <c r="E278" s="3"/>
      <c r="F278" s="3"/>
      <c r="G278" s="3"/>
      <c r="H278" s="3"/>
      <c r="I278" s="79"/>
      <c r="J278" s="3"/>
      <c r="K278" s="79">
        <f t="shared" ref="K278:V278" si="435">K230-K248</f>
        <v>-3778.1978242051891</v>
      </c>
      <c r="L278" s="79">
        <f t="shared" si="435"/>
        <v>-2647.8013205547213</v>
      </c>
      <c r="M278" s="79">
        <f t="shared" si="435"/>
        <v>-2075.0375771104386</v>
      </c>
      <c r="N278" s="79">
        <f t="shared" si="435"/>
        <v>-50.804066658893589</v>
      </c>
      <c r="O278" s="79">
        <f t="shared" si="435"/>
        <v>-833.03041701206075</v>
      </c>
      <c r="P278" s="79">
        <f t="shared" si="435"/>
        <v>-2992.2939697202546</v>
      </c>
      <c r="Q278" s="79">
        <f t="shared" si="435"/>
        <v>-931.92004580380853</v>
      </c>
      <c r="R278" s="79">
        <f t="shared" si="435"/>
        <v>-435.56214225784424</v>
      </c>
      <c r="S278" s="79">
        <f t="shared" si="435"/>
        <v>-2314.6224128848125</v>
      </c>
      <c r="T278" s="79">
        <f t="shared" ca="1" si="435"/>
        <v>-1173.937324543148</v>
      </c>
      <c r="U278" s="79">
        <f t="shared" ca="1" si="435"/>
        <v>-2814.1166543604063</v>
      </c>
      <c r="V278" s="79">
        <f t="shared" ca="1" si="435"/>
        <v>-2420.3428243604067</v>
      </c>
      <c r="W278" s="79">
        <f t="shared" ref="W278:AA278" ca="1" si="436">W230-W248</f>
        <v>-2008.9298406004064</v>
      </c>
      <c r="X278" s="79">
        <f t="shared" ca="1" si="436"/>
        <v>-1579.1287503018057</v>
      </c>
      <c r="Y278" s="79">
        <f t="shared" ca="1" si="436"/>
        <v>-1397.003245180048</v>
      </c>
      <c r="Z278" s="79">
        <f t="shared" ca="1" si="436"/>
        <v>-1210.9139749046362</v>
      </c>
      <c r="AA278" s="79">
        <f t="shared" ca="1" si="436"/>
        <v>-737.64966017746701</v>
      </c>
      <c r="AB278" s="79">
        <f t="shared" ref="AB278" ca="1" si="437">AB230-AB248</f>
        <v>-534.77978235197952</v>
      </c>
    </row>
    <row r="279" spans="2:28">
      <c r="B279" s="3" t="s">
        <v>783</v>
      </c>
      <c r="C279" s="3"/>
      <c r="D279" s="3"/>
      <c r="E279" s="3"/>
      <c r="F279" s="3"/>
      <c r="G279" s="3"/>
      <c r="H279" s="3"/>
      <c r="I279" s="79"/>
      <c r="J279" s="3"/>
      <c r="K279" s="79">
        <f t="shared" ref="K279:V279" si="438">K231-K249</f>
        <v>0</v>
      </c>
      <c r="L279" s="79">
        <f t="shared" si="438"/>
        <v>0</v>
      </c>
      <c r="M279" s="79">
        <f t="shared" si="438"/>
        <v>0</v>
      </c>
      <c r="N279" s="79">
        <f t="shared" si="438"/>
        <v>0</v>
      </c>
      <c r="O279" s="79">
        <f t="shared" si="438"/>
        <v>-66034</v>
      </c>
      <c r="P279" s="79">
        <f t="shared" si="438"/>
        <v>-269400</v>
      </c>
      <c r="Q279" s="79">
        <f t="shared" si="438"/>
        <v>-326739</v>
      </c>
      <c r="R279" s="79">
        <f t="shared" si="438"/>
        <v>-226269</v>
      </c>
      <c r="S279" s="79">
        <f t="shared" si="438"/>
        <v>-179838</v>
      </c>
      <c r="T279" s="79">
        <f t="shared" si="438"/>
        <v>-156991.0103343465</v>
      </c>
      <c r="U279" s="79">
        <f t="shared" ca="1" si="438"/>
        <v>-110349.2647007192</v>
      </c>
      <c r="V279" s="79">
        <f t="shared" ca="1" si="438"/>
        <v>-79011.517544099595</v>
      </c>
      <c r="W279" s="79">
        <f t="shared" ref="W279:AA279" ca="1" si="439">W231-W249</f>
        <v>-27787.19673775004</v>
      </c>
      <c r="X279" s="79">
        <f t="shared" ca="1" si="439"/>
        <v>8578.4930938909529</v>
      </c>
      <c r="Y279" s="79">
        <f t="shared" ca="1" si="439"/>
        <v>48896.822404267339</v>
      </c>
      <c r="Z279" s="79">
        <f t="shared" ca="1" si="439"/>
        <v>84055.848654175454</v>
      </c>
      <c r="AA279" s="79">
        <f t="shared" ca="1" si="439"/>
        <v>118770.34742329545</v>
      </c>
      <c r="AB279" s="79">
        <f t="shared" ref="AB279" ca="1" si="440">AB231-AB249</f>
        <v>153188.3439592646</v>
      </c>
    </row>
    <row r="280" spans="2:28">
      <c r="B280" s="2" t="str">
        <f>B250</f>
        <v>Other</v>
      </c>
      <c r="C280" s="2"/>
      <c r="D280" s="2"/>
      <c r="E280" s="2"/>
      <c r="F280" s="2"/>
      <c r="G280" s="2"/>
      <c r="H280" s="2"/>
      <c r="I280" s="2"/>
      <c r="J280" s="2"/>
      <c r="K280" s="80">
        <f t="shared" ref="K280:V280" si="441">K232-K250</f>
        <v>-40100.652175794829</v>
      </c>
      <c r="L280" s="80">
        <f t="shared" si="441"/>
        <v>-22779.743679445306</v>
      </c>
      <c r="M280" s="80">
        <f t="shared" ca="1" si="441"/>
        <v>-34099.222422889587</v>
      </c>
      <c r="N280" s="80">
        <f t="shared" si="441"/>
        <v>-24018.295933341113</v>
      </c>
      <c r="O280" s="80">
        <f t="shared" si="441"/>
        <v>-27233.953787533406</v>
      </c>
      <c r="P280" s="80">
        <f t="shared" si="441"/>
        <v>7540.4939697202644</v>
      </c>
      <c r="Q280" s="80">
        <f t="shared" si="441"/>
        <v>147.72004580378416</v>
      </c>
      <c r="R280" s="80">
        <f t="shared" si="441"/>
        <v>-10211.977857742138</v>
      </c>
      <c r="S280" s="80">
        <f t="shared" si="441"/>
        <v>-22766.997587115198</v>
      </c>
      <c r="T280" s="80">
        <f t="shared" ca="1" si="441"/>
        <v>-46484.612341110333</v>
      </c>
      <c r="U280" s="80">
        <f t="shared" ca="1" si="441"/>
        <v>-45641.512341110334</v>
      </c>
      <c r="V280" s="80">
        <f t="shared" ca="1" si="441"/>
        <v>-46568.92234111033</v>
      </c>
      <c r="W280" s="80">
        <f t="shared" ref="W280:AA280" ca="1" si="442">W232-W250</f>
        <v>-47403.591341110332</v>
      </c>
      <c r="X280" s="80">
        <f t="shared" ca="1" si="442"/>
        <v>-48154.793441110334</v>
      </c>
      <c r="Y280" s="80">
        <f t="shared" ca="1" si="442"/>
        <v>-48830.875331110336</v>
      </c>
      <c r="Z280" s="80">
        <f t="shared" ca="1" si="442"/>
        <v>-49439.349032110331</v>
      </c>
      <c r="AA280" s="80">
        <f t="shared" ca="1" si="442"/>
        <v>-49986.97536301033</v>
      </c>
      <c r="AB280" s="80">
        <f t="shared" ref="AB280" ca="1" si="443">AB232-AB250</f>
        <v>-50479.839060820334</v>
      </c>
    </row>
    <row r="281" spans="2:28">
      <c r="B281" s="3" t="s">
        <v>177</v>
      </c>
      <c r="C281" s="3"/>
      <c r="D281" s="3"/>
      <c r="E281" s="3"/>
      <c r="F281" s="3"/>
      <c r="G281" s="79">
        <f>G233-G251</f>
        <v>176555.86</v>
      </c>
      <c r="H281" s="79">
        <f>H233-H251</f>
        <v>208499.35</v>
      </c>
      <c r="I281" s="79">
        <f>I233-I251</f>
        <v>239846</v>
      </c>
      <c r="J281" s="79">
        <f>J233-J251</f>
        <v>231154</v>
      </c>
      <c r="K281" s="79">
        <f t="shared" ref="K281:V281" si="444">K233-K251</f>
        <v>213342</v>
      </c>
      <c r="L281" s="79">
        <f t="shared" si="444"/>
        <v>246053</v>
      </c>
      <c r="M281" s="79">
        <f t="shared" si="444"/>
        <v>269099</v>
      </c>
      <c r="N281" s="79">
        <f t="shared" si="444"/>
        <v>289379</v>
      </c>
      <c r="O281" s="79">
        <f t="shared" si="444"/>
        <v>95812.479545454495</v>
      </c>
      <c r="P281" s="79">
        <f t="shared" si="444"/>
        <v>-147770</v>
      </c>
      <c r="Q281" s="79">
        <f t="shared" si="444"/>
        <v>-68477</v>
      </c>
      <c r="R281" s="79">
        <f t="shared" si="444"/>
        <v>55782</v>
      </c>
      <c r="S281" s="79">
        <f t="shared" si="444"/>
        <v>53092</v>
      </c>
      <c r="T281" s="79">
        <f t="shared" si="444"/>
        <v>-5100</v>
      </c>
      <c r="U281" s="79">
        <f t="shared" ca="1" si="444"/>
        <v>81177.843498145754</v>
      </c>
      <c r="V281" s="79">
        <f t="shared" ca="1" si="444"/>
        <v>116257.38911945885</v>
      </c>
      <c r="W281" s="79">
        <f t="shared" ref="W281:AA281" ca="1" si="445">W233-W251</f>
        <v>170974.53433095035</v>
      </c>
      <c r="X281" s="79">
        <f t="shared" ca="1" si="445"/>
        <v>212179.60336482478</v>
      </c>
      <c r="Y281" s="79">
        <f t="shared" ca="1" si="445"/>
        <v>275735.49362281361</v>
      </c>
      <c r="Z281" s="79">
        <f t="shared" ca="1" si="445"/>
        <v>320393.08426332497</v>
      </c>
      <c r="AA281" s="79">
        <f t="shared" ca="1" si="445"/>
        <v>371405.74579653842</v>
      </c>
      <c r="AB281" s="79">
        <f t="shared" ref="AB281" ca="1" si="446">AB233-AB251</f>
        <v>413414.21653858037</v>
      </c>
    </row>
    <row r="282" spans="2:28">
      <c r="B282" s="3" t="s">
        <v>5</v>
      </c>
      <c r="C282" s="3"/>
      <c r="D282" s="3"/>
      <c r="E282" s="3"/>
      <c r="F282" s="3"/>
      <c r="G282" s="8" t="e">
        <f>#REF!/G221</f>
        <v>#REF!</v>
      </c>
      <c r="H282" s="8" t="e">
        <f>#REF!/H221</f>
        <v>#REF!</v>
      </c>
      <c r="I282" s="8" t="e">
        <f>#REF!/I221</f>
        <v>#REF!</v>
      </c>
      <c r="J282" s="8" t="e">
        <f>#REF!/J221</f>
        <v>#REF!</v>
      </c>
      <c r="K282" s="8">
        <f t="shared" ref="K282:V282" si="447">K281/K233</f>
        <v>0.53155038643804287</v>
      </c>
      <c r="L282" s="8">
        <f t="shared" si="447"/>
        <v>0.55115819088813678</v>
      </c>
      <c r="M282" s="8">
        <f t="shared" si="447"/>
        <v>0.52232050139848873</v>
      </c>
      <c r="N282" s="8">
        <f t="shared" si="447"/>
        <v>0.5332946325731398</v>
      </c>
      <c r="O282" s="8">
        <f t="shared" si="447"/>
        <v>0.20741415416236486</v>
      </c>
      <c r="P282" s="8">
        <f t="shared" si="447"/>
        <v>-0.40357776867404072</v>
      </c>
      <c r="Q282" s="8">
        <f t="shared" si="447"/>
        <v>-0.18771827866201005</v>
      </c>
      <c r="R282" s="8">
        <f t="shared" si="447"/>
        <v>0.13400083116933034</v>
      </c>
      <c r="S282" s="8">
        <f t="shared" si="447"/>
        <v>0.12063539671395106</v>
      </c>
      <c r="T282" s="8">
        <f t="shared" si="447"/>
        <v>-1.1946004061641381E-2</v>
      </c>
      <c r="U282" s="8">
        <f t="shared" ca="1" si="447"/>
        <v>0.16127488526852923</v>
      </c>
      <c r="V282" s="8">
        <f t="shared" ca="1" si="447"/>
        <v>0.21153536729574424</v>
      </c>
      <c r="W282" s="8">
        <f t="shared" ref="W282:AA282" ca="1" si="448">W281/W233</f>
        <v>0.28533129625926196</v>
      </c>
      <c r="X282" s="8">
        <f t="shared" ca="1" si="448"/>
        <v>0.33138268096729628</v>
      </c>
      <c r="Y282" s="8">
        <f t="shared" ca="1" si="448"/>
        <v>0.40110356311573986</v>
      </c>
      <c r="Z282" s="8">
        <f t="shared" ca="1" si="448"/>
        <v>0.43789145730350187</v>
      </c>
      <c r="AA282" s="8">
        <f t="shared" ca="1" si="448"/>
        <v>0.47748093776269152</v>
      </c>
      <c r="AB282" s="8">
        <f t="shared" ref="AB282" ca="1" si="449">AB281/AB233</f>
        <v>0.50084394545157751</v>
      </c>
    </row>
    <row r="283" spans="2:28">
      <c r="B283" s="3" t="s">
        <v>1042</v>
      </c>
      <c r="C283" s="3"/>
      <c r="D283" s="3"/>
      <c r="E283" s="3"/>
      <c r="F283" s="3"/>
      <c r="G283" s="8"/>
      <c r="H283" s="8"/>
      <c r="I283" s="8"/>
      <c r="J283" s="8"/>
      <c r="K283" s="79">
        <f t="shared" ref="K283:V283" si="450">K236-K257</f>
        <v>144109.19782420521</v>
      </c>
      <c r="L283" s="79">
        <f t="shared" si="450"/>
        <v>158335.80132055475</v>
      </c>
      <c r="M283" s="79">
        <f t="shared" ca="1" si="450"/>
        <v>158848.03757711046</v>
      </c>
      <c r="N283" s="79">
        <f t="shared" si="450"/>
        <v>161750.80406665889</v>
      </c>
      <c r="O283" s="79">
        <f t="shared" si="450"/>
        <v>162679.5099624666</v>
      </c>
      <c r="P283" s="79">
        <f t="shared" si="450"/>
        <v>124622.29396972025</v>
      </c>
      <c r="Q283" s="79">
        <f t="shared" si="450"/>
        <v>259193.92004580377</v>
      </c>
      <c r="R283" s="79">
        <f t="shared" si="450"/>
        <v>282486.56214225781</v>
      </c>
      <c r="S283" s="79">
        <f t="shared" si="450"/>
        <v>235244.62241288478</v>
      </c>
      <c r="T283" s="79">
        <f t="shared" ca="1" si="450"/>
        <v>153064.94765888958</v>
      </c>
      <c r="U283" s="79">
        <f t="shared" ca="1" si="450"/>
        <v>194341.2248532254</v>
      </c>
      <c r="V283" s="79">
        <f t="shared" ca="1" si="450"/>
        <v>197689.24948791898</v>
      </c>
      <c r="W283" s="79">
        <f t="shared" ref="W283:AA283" ca="1" si="451">W236-W257</f>
        <v>200770.6609093009</v>
      </c>
      <c r="X283" s="79">
        <f t="shared" ca="1" si="451"/>
        <v>205180.23902123573</v>
      </c>
      <c r="Y283" s="79">
        <f t="shared" ca="1" si="451"/>
        <v>228235.67446372623</v>
      </c>
      <c r="Z283" s="79">
        <f t="shared" ca="1" si="451"/>
        <v>237548.14958405413</v>
      </c>
      <c r="AA283" s="79">
        <f t="shared" ca="1" si="451"/>
        <v>253373.04803342058</v>
      </c>
      <c r="AB283" s="79">
        <f t="shared" ref="AB283" ca="1" si="452">AB236-AB257</f>
        <v>260760.65236166795</v>
      </c>
    </row>
    <row r="284" spans="2:28">
      <c r="B284" s="3" t="s">
        <v>5</v>
      </c>
      <c r="C284" s="3"/>
      <c r="D284" s="3"/>
      <c r="E284" s="3"/>
      <c r="F284" s="3"/>
      <c r="G284" s="8"/>
      <c r="H284" s="8"/>
      <c r="I284" s="8"/>
      <c r="J284" s="8"/>
      <c r="K284" s="8">
        <f t="shared" ref="K284:V284" si="453">K283/K225</f>
        <v>0.14785237643849869</v>
      </c>
      <c r="L284" s="8">
        <f t="shared" si="453"/>
        <v>0.14833713662626158</v>
      </c>
      <c r="M284" s="8">
        <f t="shared" ca="1" si="453"/>
        <v>0.13001489446205045</v>
      </c>
      <c r="N284" s="8">
        <f t="shared" si="453"/>
        <v>0.11384672194627228</v>
      </c>
      <c r="O284" s="8">
        <f t="shared" si="453"/>
        <v>0.10321256088370889</v>
      </c>
      <c r="P284" s="8">
        <f t="shared" si="453"/>
        <v>8.3847334972562915E-2</v>
      </c>
      <c r="Q284" s="8">
        <f t="shared" si="453"/>
        <v>0.16951670259114435</v>
      </c>
      <c r="R284" s="8">
        <f t="shared" si="453"/>
        <v>0.18786635658415304</v>
      </c>
      <c r="S284" s="8">
        <f t="shared" si="453"/>
        <v>0.15989145647820552</v>
      </c>
      <c r="T284" s="8">
        <f t="shared" ca="1" si="453"/>
        <v>0.1060953632840462</v>
      </c>
      <c r="U284" s="8">
        <f t="shared" ca="1" si="453"/>
        <v>0.13773508098474579</v>
      </c>
      <c r="V284" s="8">
        <f t="shared" ca="1" si="453"/>
        <v>0.13856178895217555</v>
      </c>
      <c r="W284" s="8">
        <f t="shared" ref="W284:AA284" ca="1" si="454">W283/W225</f>
        <v>0.13866005107766444</v>
      </c>
      <c r="X284" s="8">
        <f t="shared" ca="1" si="454"/>
        <v>0.13905110316286728</v>
      </c>
      <c r="Y284" s="8">
        <f t="shared" ca="1" si="454"/>
        <v>0.15122130890394408</v>
      </c>
      <c r="Z284" s="8">
        <f t="shared" ca="1" si="454"/>
        <v>0.15337973459497387</v>
      </c>
      <c r="AA284" s="8">
        <f t="shared" ca="1" si="454"/>
        <v>0.15897878308505006</v>
      </c>
      <c r="AB284" s="8">
        <f t="shared" ref="AB284" ca="1" si="455">AB283/AB225</f>
        <v>0.15860708105038865</v>
      </c>
    </row>
    <row r="285" spans="2:28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5"/>
      <c r="N285" s="3"/>
      <c r="O285" s="3"/>
      <c r="P285" s="3"/>
      <c r="Q285" s="79"/>
      <c r="R285" s="79"/>
      <c r="S285" s="79"/>
      <c r="T285" s="3"/>
      <c r="U285" s="3"/>
      <c r="V285" s="3"/>
      <c r="W285" s="3"/>
      <c r="X285" s="3"/>
      <c r="Y285" s="3"/>
      <c r="Z285" s="3"/>
      <c r="AA285" s="3"/>
      <c r="AB285" s="3"/>
    </row>
    <row r="286" spans="2:28">
      <c r="B286" s="3" t="s">
        <v>92</v>
      </c>
      <c r="C286" s="3"/>
      <c r="D286" s="3"/>
      <c r="E286" s="3"/>
      <c r="F286" s="3"/>
      <c r="G286" s="3"/>
      <c r="H286" s="3"/>
      <c r="I286" s="3"/>
      <c r="J286" s="3"/>
      <c r="K286" s="81">
        <v>211770</v>
      </c>
      <c r="L286" s="81">
        <v>233199</v>
      </c>
      <c r="M286" s="81">
        <v>269799</v>
      </c>
      <c r="N286" s="81">
        <f>-SUM(Interims!W189:Z189)</f>
        <v>311320</v>
      </c>
      <c r="O286" s="81">
        <v>245166</v>
      </c>
      <c r="P286" s="81">
        <v>241518</v>
      </c>
      <c r="Q286" s="81">
        <v>274724</v>
      </c>
      <c r="R286" s="81">
        <f>-SUM(Interims!AM189:AP189)</f>
        <v>300539</v>
      </c>
      <c r="S286" s="81">
        <f>-SUM(Interims!AQ189:AT189)</f>
        <v>315868</v>
      </c>
      <c r="T286" s="81">
        <f>-SUM(Interims!AU189:AX189)</f>
        <v>331565</v>
      </c>
      <c r="U286" s="79">
        <f t="shared" ref="U286:AA286" ca="1" si="456">U287*U221</f>
        <v>319101.29309548001</v>
      </c>
      <c r="V286" s="79">
        <f t="shared" ca="1" si="456"/>
        <v>340295.0727290404</v>
      </c>
      <c r="W286" s="79">
        <f t="shared" ca="1" si="456"/>
        <v>348040.14858845383</v>
      </c>
      <c r="X286" s="79">
        <f t="shared" ca="1" si="456"/>
        <v>355147.70691881521</v>
      </c>
      <c r="Y286" s="79">
        <f t="shared" ca="1" si="456"/>
        <v>363968.54982284358</v>
      </c>
      <c r="Z286" s="79">
        <f t="shared" ca="1" si="456"/>
        <v>373696.53293911449</v>
      </c>
      <c r="AA286" s="79">
        <f t="shared" ca="1" si="456"/>
        <v>384317.86522768374</v>
      </c>
      <c r="AB286" s="79">
        <f t="shared" ref="AB286" ca="1" si="457">AB287*AB221</f>
        <v>395820.70094766677</v>
      </c>
    </row>
    <row r="287" spans="2:28">
      <c r="B287" s="3" t="s">
        <v>90</v>
      </c>
      <c r="C287" s="3"/>
      <c r="D287" s="3"/>
      <c r="E287" s="3"/>
      <c r="F287" s="3"/>
      <c r="G287" s="3"/>
      <c r="H287" s="3"/>
      <c r="I287" s="3"/>
      <c r="J287" s="3"/>
      <c r="K287" s="8">
        <f t="shared" ref="K287:P287" si="458">K286/K221</f>
        <v>0.21290456844524472</v>
      </c>
      <c r="L287" s="8">
        <f t="shared" si="458"/>
        <v>0.21457081971557282</v>
      </c>
      <c r="M287" s="8">
        <f t="shared" si="458"/>
        <v>0.21741940422994321</v>
      </c>
      <c r="N287" s="8">
        <f t="shared" si="458"/>
        <v>0.21606120670031259</v>
      </c>
      <c r="O287" s="8">
        <f t="shared" si="458"/>
        <v>0.14913408721782559</v>
      </c>
      <c r="P287" s="8">
        <f t="shared" si="458"/>
        <v>0.14513840604836506</v>
      </c>
      <c r="Q287" s="8">
        <f>Q286/Q221</f>
        <v>0.15323192389383691</v>
      </c>
      <c r="R287" s="8">
        <f>R286/R221</f>
        <v>0.16020185479546398</v>
      </c>
      <c r="S287" s="8">
        <f>S286/S221</f>
        <v>0.1615552611793348</v>
      </c>
      <c r="T287" s="8">
        <f>T286/T221</f>
        <v>0.17125424436159739</v>
      </c>
      <c r="U287" s="76">
        <v>0.16</v>
      </c>
      <c r="V287" s="76">
        <v>0.16</v>
      </c>
      <c r="W287" s="76">
        <v>0.16</v>
      </c>
      <c r="X287" s="76">
        <v>0.16</v>
      </c>
      <c r="Y287" s="76">
        <v>0.16</v>
      </c>
      <c r="Z287" s="76">
        <v>0.16</v>
      </c>
      <c r="AA287" s="76">
        <v>0.16</v>
      </c>
      <c r="AB287" s="76">
        <v>0.16</v>
      </c>
    </row>
    <row r="288" spans="2:28">
      <c r="B288" s="3" t="s">
        <v>587</v>
      </c>
      <c r="C288" s="3"/>
      <c r="D288" s="3"/>
      <c r="E288" s="3"/>
      <c r="F288" s="3"/>
      <c r="G288" s="3"/>
      <c r="H288" s="3"/>
      <c r="I288" s="3"/>
      <c r="J288" s="3"/>
      <c r="K288" s="5">
        <f t="shared" ref="K288:V288" si="459">K286/K255</f>
        <v>0.81129538323621697</v>
      </c>
      <c r="L288" s="5">
        <f t="shared" si="459"/>
        <v>0.80208501724902925</v>
      </c>
      <c r="M288" s="5">
        <f t="shared" si="459"/>
        <v>0.7527327816620446</v>
      </c>
      <c r="N288" s="5">
        <f t="shared" si="459"/>
        <v>0.81727374155017396</v>
      </c>
      <c r="O288" s="5">
        <f t="shared" si="459"/>
        <v>0.66962281049304062</v>
      </c>
      <c r="P288" s="5">
        <f>P286/P255</f>
        <v>0.46995252179327524</v>
      </c>
      <c r="Q288" s="5">
        <f>Q286/Q255</f>
        <v>0.63408137782363139</v>
      </c>
      <c r="R288" s="5">
        <f t="shared" si="459"/>
        <v>0.83367498938970708</v>
      </c>
      <c r="S288" s="5">
        <f t="shared" si="459"/>
        <v>0.81617318370795666</v>
      </c>
      <c r="T288" s="5">
        <f t="shared" si="459"/>
        <v>0.76747426629724014</v>
      </c>
      <c r="U288" s="5">
        <f t="shared" ca="1" si="459"/>
        <v>0.75585440421010364</v>
      </c>
      <c r="V288" s="5">
        <f t="shared" ca="1" si="459"/>
        <v>0.7853004871221172</v>
      </c>
      <c r="W288" s="5">
        <f t="shared" ref="W288:AA288" ca="1" si="460">W286/W255</f>
        <v>0.81272301984737461</v>
      </c>
      <c r="X288" s="5">
        <f t="shared" ca="1" si="460"/>
        <v>0.82957865091553995</v>
      </c>
      <c r="Y288" s="5">
        <f t="shared" ca="1" si="460"/>
        <v>0.88404826345601017</v>
      </c>
      <c r="Z288" s="5">
        <f t="shared" ca="1" si="460"/>
        <v>0.90861985472235962</v>
      </c>
      <c r="AA288" s="5">
        <f t="shared" ca="1" si="460"/>
        <v>0.94557472385887875</v>
      </c>
      <c r="AB288" s="5">
        <f t="shared" ref="AB288" ca="1" si="461">AB286/AB255</f>
        <v>0.96068095522736152</v>
      </c>
    </row>
    <row r="289" spans="2:28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2:28">
      <c r="B290" s="3" t="s">
        <v>377</v>
      </c>
      <c r="C290" s="3"/>
      <c r="D290" s="3"/>
      <c r="E290" s="3"/>
      <c r="F290" s="3"/>
      <c r="G290" s="3"/>
      <c r="H290" s="3"/>
      <c r="I290" s="3"/>
      <c r="J290" s="3"/>
      <c r="K290" s="3"/>
      <c r="L290" s="81">
        <f>1296+3337</f>
        <v>4633</v>
      </c>
      <c r="M290" s="81">
        <f>-SUM(Interims!S188:V188)</f>
        <v>7172</v>
      </c>
      <c r="N290" s="81">
        <f>-SUM(Interims!W188:Z188)</f>
        <v>9725</v>
      </c>
      <c r="O290" s="81">
        <v>3813</v>
      </c>
      <c r="P290" s="81">
        <v>-2137</v>
      </c>
      <c r="Q290" s="81">
        <v>1018</v>
      </c>
      <c r="R290" s="81">
        <f>-SUM(Interims!AM188:AP188)</f>
        <v>1346</v>
      </c>
      <c r="S290" s="81">
        <v>7029</v>
      </c>
      <c r="T290" s="81">
        <f>-SUM(Interims!AU188:AX188)</f>
        <v>4443</v>
      </c>
      <c r="U290" s="3"/>
      <c r="V290" s="3"/>
      <c r="W290" s="3"/>
      <c r="X290" s="3"/>
      <c r="Y290" s="3"/>
      <c r="Z290" s="3"/>
      <c r="AA290" s="3"/>
      <c r="AB290" s="3"/>
    </row>
    <row r="291" spans="2:28">
      <c r="B291" s="3" t="s">
        <v>93</v>
      </c>
      <c r="C291" s="3"/>
      <c r="D291" s="3"/>
      <c r="E291" s="3"/>
      <c r="F291" s="3"/>
      <c r="G291" s="3"/>
      <c r="H291" s="3"/>
      <c r="I291" s="3"/>
      <c r="J291" s="3"/>
      <c r="K291" s="79">
        <f>K233-K286</f>
        <v>189588</v>
      </c>
      <c r="L291" s="79">
        <f t="shared" ref="L291:V291" si="462">L233-L286-L290</f>
        <v>208597</v>
      </c>
      <c r="M291" s="79">
        <f t="shared" si="462"/>
        <v>238228</v>
      </c>
      <c r="N291" s="79">
        <f t="shared" si="462"/>
        <v>221580</v>
      </c>
      <c r="O291" s="79">
        <f t="shared" si="462"/>
        <v>212959</v>
      </c>
      <c r="P291" s="79">
        <f t="shared" si="462"/>
        <v>126769</v>
      </c>
      <c r="Q291" s="79">
        <f t="shared" si="462"/>
        <v>89044</v>
      </c>
      <c r="R291" s="79">
        <f t="shared" si="462"/>
        <v>114396</v>
      </c>
      <c r="S291" s="79">
        <f t="shared" si="462"/>
        <v>117206</v>
      </c>
      <c r="T291" s="79">
        <f t="shared" si="462"/>
        <v>90913</v>
      </c>
      <c r="U291" s="79">
        <f t="shared" ca="1" si="462"/>
        <v>184249.5129707054</v>
      </c>
      <c r="V291" s="79">
        <f t="shared" ca="1" si="462"/>
        <v>209293.35121011699</v>
      </c>
      <c r="W291" s="79">
        <f t="shared" ref="W291:AA291" ca="1" si="463">W233-W286-W290</f>
        <v>251173.94594815437</v>
      </c>
      <c r="X291" s="79">
        <f t="shared" ca="1" si="463"/>
        <v>285138.02782591787</v>
      </c>
      <c r="Y291" s="79">
        <f t="shared" ca="1" si="463"/>
        <v>323473.59474680998</v>
      </c>
      <c r="Z291" s="79">
        <f t="shared" ca="1" si="463"/>
        <v>357975.84595650993</v>
      </c>
      <c r="AA291" s="79">
        <f t="shared" ca="1" si="463"/>
        <v>393526.26722463086</v>
      </c>
      <c r="AB291" s="79">
        <f t="shared" ref="AB291" ca="1" si="464">AB233-AB286-AB290</f>
        <v>429614.48758362792</v>
      </c>
    </row>
    <row r="292" spans="2:28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15"/>
      <c r="O292" s="11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2:28">
      <c r="B293" s="3" t="s">
        <v>94</v>
      </c>
      <c r="C293" s="3"/>
      <c r="D293" s="3"/>
      <c r="E293" s="3"/>
      <c r="F293" s="3"/>
      <c r="G293" s="3"/>
      <c r="H293" s="3"/>
      <c r="I293" s="3"/>
      <c r="J293" s="3"/>
      <c r="K293" s="81">
        <f>-1168+11352</f>
        <v>10184</v>
      </c>
      <c r="L293" s="81">
        <f>-970+9901</f>
        <v>8931</v>
      </c>
      <c r="M293" s="81">
        <f>-SUM(Interims!S191:V191)</f>
        <v>18901</v>
      </c>
      <c r="N293" s="81">
        <f>-SUM(Interims!W191:Z191)</f>
        <v>22944</v>
      </c>
      <c r="O293" s="81">
        <v>41420</v>
      </c>
      <c r="P293" s="81">
        <v>78313</v>
      </c>
      <c r="Q293" s="81">
        <v>94727</v>
      </c>
      <c r="R293" s="81">
        <f>-SUM(Interims!AM191:AP191)</f>
        <v>108256</v>
      </c>
      <c r="S293" s="81">
        <f>-SUM(Interims!AQ191:AT191)</f>
        <v>91223</v>
      </c>
      <c r="T293" s="81">
        <f>-SUM(Interims!AU191:AX191)</f>
        <v>93184</v>
      </c>
      <c r="U293" s="7">
        <f t="shared" ref="U293" ca="1" si="465">U294*AVERAGE(T323,U323)</f>
        <v>100342.79454869482</v>
      </c>
      <c r="V293" s="7">
        <f t="shared" ref="V293" ca="1" si="466">V294*AVERAGE(U323,V323)</f>
        <v>102517.75059140584</v>
      </c>
      <c r="W293" s="7">
        <f t="shared" ref="W293" ca="1" si="467">W294*AVERAGE(V323,W323)</f>
        <v>103176.09397427234</v>
      </c>
      <c r="X293" s="7">
        <f t="shared" ref="X293" ca="1" si="468">X294*AVERAGE(W323,X323)</f>
        <v>101760.78073112207</v>
      </c>
      <c r="Y293" s="7">
        <f t="shared" ref="Y293" ca="1" si="469">Y294*AVERAGE(X323,Y323)</f>
        <v>97840.086961639885</v>
      </c>
      <c r="Z293" s="7">
        <f t="shared" ref="Z293" ca="1" si="470">Z294*AVERAGE(Y323,Z323)</f>
        <v>91187.907250977165</v>
      </c>
      <c r="AA293" s="7">
        <f t="shared" ref="AA293" ca="1" si="471">AA294*AVERAGE(Z323,AA323)</f>
        <v>82029.253105760901</v>
      </c>
      <c r="AB293" s="7">
        <f ca="1">AB294*AA323</f>
        <v>76765.515932176888</v>
      </c>
    </row>
    <row r="294" spans="2:28">
      <c r="B294" s="3" t="s">
        <v>95</v>
      </c>
      <c r="C294" s="3"/>
      <c r="D294" s="3"/>
      <c r="E294" s="3"/>
      <c r="F294" s="3"/>
      <c r="G294" s="3"/>
      <c r="H294" s="3"/>
      <c r="I294" s="3"/>
      <c r="J294" s="3"/>
      <c r="K294" s="8">
        <f t="shared" ref="K294:T294" si="472">K293/AVERAGE(J323:K323)</f>
        <v>2.981264637002342E-2</v>
      </c>
      <c r="L294" s="8">
        <f t="shared" si="472"/>
        <v>2.861124459394522E-2</v>
      </c>
      <c r="M294" s="8">
        <f t="shared" si="472"/>
        <v>6.0920266358965761E-2</v>
      </c>
      <c r="N294" s="8">
        <f t="shared" si="472"/>
        <v>6.4407103196213719E-2</v>
      </c>
      <c r="O294" s="8">
        <f t="shared" si="472"/>
        <v>7.0463028175004175E-2</v>
      </c>
      <c r="P294" s="8">
        <f t="shared" si="472"/>
        <v>8.9228907645750533E-2</v>
      </c>
      <c r="Q294" s="8">
        <f t="shared" si="472"/>
        <v>8.5255114186340478E-2</v>
      </c>
      <c r="R294" s="8">
        <f t="shared" si="472"/>
        <v>8.1950875349596677E-2</v>
      </c>
      <c r="S294" s="8">
        <f t="shared" si="472"/>
        <v>6.4759833186086815E-2</v>
      </c>
      <c r="T294" s="8">
        <f t="shared" si="472"/>
        <v>6.0484818430006658E-2</v>
      </c>
      <c r="U294" s="167">
        <f t="shared" ref="U294:AB294" si="473">T294</f>
        <v>6.0484818430006658E-2</v>
      </c>
      <c r="V294" s="167">
        <f t="shared" si="473"/>
        <v>6.0484818430006658E-2</v>
      </c>
      <c r="W294" s="167">
        <f t="shared" si="473"/>
        <v>6.0484818430006658E-2</v>
      </c>
      <c r="X294" s="167">
        <f t="shared" si="473"/>
        <v>6.0484818430006658E-2</v>
      </c>
      <c r="Y294" s="167">
        <f t="shared" si="473"/>
        <v>6.0484818430006658E-2</v>
      </c>
      <c r="Z294" s="167">
        <f t="shared" si="473"/>
        <v>6.0484818430006658E-2</v>
      </c>
      <c r="AA294" s="167">
        <f t="shared" si="473"/>
        <v>6.0484818430006658E-2</v>
      </c>
      <c r="AB294" s="167">
        <f t="shared" si="473"/>
        <v>6.0484818430006658E-2</v>
      </c>
    </row>
    <row r="295" spans="2:28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2:28">
      <c r="B296" s="3" t="s">
        <v>96</v>
      </c>
      <c r="C296" s="3"/>
      <c r="D296" s="3"/>
      <c r="E296" s="3"/>
      <c r="F296" s="3"/>
      <c r="G296" s="3"/>
      <c r="H296" s="3"/>
      <c r="I296" s="3"/>
      <c r="J296" s="3"/>
      <c r="K296" s="79">
        <f t="shared" ref="K296:T296" si="474">K291-K293</f>
        <v>179404</v>
      </c>
      <c r="L296" s="79">
        <f t="shared" si="474"/>
        <v>199666</v>
      </c>
      <c r="M296" s="79">
        <f t="shared" si="474"/>
        <v>219327</v>
      </c>
      <c r="N296" s="79">
        <f t="shared" si="474"/>
        <v>198636</v>
      </c>
      <c r="O296" s="79">
        <f t="shared" si="474"/>
        <v>171539</v>
      </c>
      <c r="P296" s="79">
        <f t="shared" si="474"/>
        <v>48456</v>
      </c>
      <c r="Q296" s="79">
        <f t="shared" si="474"/>
        <v>-5683</v>
      </c>
      <c r="R296" s="79">
        <f t="shared" si="474"/>
        <v>6140</v>
      </c>
      <c r="S296" s="79">
        <f t="shared" si="474"/>
        <v>25983</v>
      </c>
      <c r="T296" s="79">
        <f t="shared" si="474"/>
        <v>-2271</v>
      </c>
      <c r="U296" s="79">
        <f t="shared" ref="U296:AA296" ca="1" si="475">U291-U293</f>
        <v>83906.718422010585</v>
      </c>
      <c r="V296" s="79">
        <f t="shared" ca="1" si="475"/>
        <v>106775.60061871115</v>
      </c>
      <c r="W296" s="79">
        <f t="shared" ca="1" si="475"/>
        <v>147997.85197388203</v>
      </c>
      <c r="X296" s="79">
        <f t="shared" ca="1" si="475"/>
        <v>183377.24709479581</v>
      </c>
      <c r="Y296" s="79">
        <f t="shared" ca="1" si="475"/>
        <v>225633.50778517011</v>
      </c>
      <c r="Z296" s="79">
        <f t="shared" ca="1" si="475"/>
        <v>266787.93870553275</v>
      </c>
      <c r="AA296" s="79">
        <f t="shared" ca="1" si="475"/>
        <v>311497.01411886996</v>
      </c>
      <c r="AB296" s="79">
        <f t="shared" ref="AB296" ca="1" si="476">AB291-AB293</f>
        <v>352848.97165145102</v>
      </c>
    </row>
    <row r="297" spans="2:28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 t="s">
        <v>38</v>
      </c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2:28">
      <c r="B298" s="3" t="s">
        <v>97</v>
      </c>
      <c r="C298" s="3"/>
      <c r="D298" s="3"/>
      <c r="E298" s="3"/>
      <c r="F298" s="3"/>
      <c r="G298" s="3"/>
      <c r="H298" s="3"/>
      <c r="I298" s="3"/>
      <c r="J298" s="3"/>
      <c r="K298" s="81">
        <v>28790</v>
      </c>
      <c r="L298" s="81">
        <v>24598</v>
      </c>
      <c r="M298" s="81">
        <v>38560</v>
      </c>
      <c r="N298" s="81">
        <f>-SUM(Interims!W193:Z193)</f>
        <v>31342</v>
      </c>
      <c r="O298" s="81">
        <v>29952</v>
      </c>
      <c r="P298" s="81">
        <v>-8015</v>
      </c>
      <c r="Q298" s="81">
        <v>-12781</v>
      </c>
      <c r="R298" s="81">
        <f>-SUM(Interims!AM193:AP193)</f>
        <v>-28018</v>
      </c>
      <c r="S298" s="81">
        <f>-SUM(Interims!AQ193:AT193)</f>
        <v>-17408</v>
      </c>
      <c r="T298" s="81">
        <f>-SUM(Interims!AU193:AX193)</f>
        <v>21344</v>
      </c>
      <c r="U298" s="79">
        <f t="shared" ref="U298:AA298" ca="1" si="477">U299*U296</f>
        <v>22654.813973942859</v>
      </c>
      <c r="V298" s="79">
        <f t="shared" ca="1" si="477"/>
        <v>28829.412167052011</v>
      </c>
      <c r="W298" s="79">
        <f t="shared" ca="1" si="477"/>
        <v>39959.420032948154</v>
      </c>
      <c r="X298" s="79">
        <f t="shared" ca="1" si="477"/>
        <v>49511.856715594869</v>
      </c>
      <c r="Y298" s="79">
        <f t="shared" ca="1" si="477"/>
        <v>60921.04710199593</v>
      </c>
      <c r="Z298" s="79">
        <f t="shared" ca="1" si="477"/>
        <v>72032.743450493843</v>
      </c>
      <c r="AA298" s="79">
        <f t="shared" ca="1" si="477"/>
        <v>84104.193812094891</v>
      </c>
      <c r="AB298" s="79">
        <f t="shared" ref="AB298" ca="1" si="478">AB299*AB296</f>
        <v>95269.222345891787</v>
      </c>
    </row>
    <row r="299" spans="2:28">
      <c r="B299" s="3" t="s">
        <v>98</v>
      </c>
      <c r="C299" s="3"/>
      <c r="D299" s="3"/>
      <c r="E299" s="3"/>
      <c r="F299" s="3"/>
      <c r="G299" s="3"/>
      <c r="H299" s="3"/>
      <c r="I299" s="3"/>
      <c r="J299" s="3"/>
      <c r="K299" s="8">
        <f>K298/K296</f>
        <v>0.16047579764107825</v>
      </c>
      <c r="L299" s="8">
        <f>L298/L296</f>
        <v>0.12319573688059059</v>
      </c>
      <c r="M299" s="8">
        <f>M298/M296</f>
        <v>0.17581054772098281</v>
      </c>
      <c r="N299" s="8">
        <f>N298/N296</f>
        <v>0.15778610121025394</v>
      </c>
      <c r="O299" s="167">
        <v>0.2</v>
      </c>
      <c r="P299" s="167">
        <v>0.27</v>
      </c>
      <c r="Q299" s="167">
        <v>0.23</v>
      </c>
      <c r="R299" s="167">
        <v>0.25</v>
      </c>
      <c r="S299" s="167">
        <v>0.26</v>
      </c>
      <c r="T299" s="167">
        <v>0.27</v>
      </c>
      <c r="U299" s="167">
        <v>0.27</v>
      </c>
      <c r="V299" s="167">
        <v>0.27</v>
      </c>
      <c r="W299" s="167">
        <v>0.27</v>
      </c>
      <c r="X299" s="167">
        <v>0.27</v>
      </c>
      <c r="Y299" s="167">
        <v>0.27</v>
      </c>
      <c r="Z299" s="167">
        <v>0.27</v>
      </c>
      <c r="AA299" s="167">
        <v>0.27</v>
      </c>
      <c r="AB299" s="167">
        <v>0.27</v>
      </c>
    </row>
    <row r="300" spans="2:28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2:28">
      <c r="B301" s="3" t="s">
        <v>99</v>
      </c>
      <c r="C301" s="3"/>
      <c r="D301" s="3"/>
      <c r="E301" s="3"/>
      <c r="F301" s="3"/>
      <c r="G301" s="3"/>
      <c r="H301" s="3"/>
      <c r="I301" s="3"/>
      <c r="J301" s="3"/>
      <c r="K301" s="84">
        <v>0</v>
      </c>
      <c r="L301" s="84">
        <v>0</v>
      </c>
      <c r="M301" s="84">
        <v>0</v>
      </c>
      <c r="N301" s="84">
        <v>0</v>
      </c>
      <c r="O301" s="84">
        <v>0</v>
      </c>
      <c r="P301" s="84">
        <v>0</v>
      </c>
      <c r="Q301" s="84">
        <v>0</v>
      </c>
      <c r="R301" s="84">
        <v>0</v>
      </c>
      <c r="S301" s="84">
        <v>0</v>
      </c>
      <c r="T301" s="84">
        <v>0</v>
      </c>
      <c r="U301" s="85">
        <f t="shared" ref="U301:AB301" si="479">T301</f>
        <v>0</v>
      </c>
      <c r="V301" s="85">
        <f t="shared" si="479"/>
        <v>0</v>
      </c>
      <c r="W301" s="85">
        <f t="shared" si="479"/>
        <v>0</v>
      </c>
      <c r="X301" s="85">
        <f t="shared" si="479"/>
        <v>0</v>
      </c>
      <c r="Y301" s="85">
        <f t="shared" si="479"/>
        <v>0</v>
      </c>
      <c r="Z301" s="85">
        <f t="shared" si="479"/>
        <v>0</v>
      </c>
      <c r="AA301" s="85">
        <f t="shared" si="479"/>
        <v>0</v>
      </c>
      <c r="AB301" s="85">
        <f t="shared" si="479"/>
        <v>0</v>
      </c>
    </row>
    <row r="302" spans="2:28">
      <c r="B302" s="3" t="s">
        <v>100</v>
      </c>
      <c r="C302" s="3"/>
      <c r="D302" s="3"/>
      <c r="E302" s="3"/>
      <c r="F302" s="3"/>
      <c r="G302" s="3"/>
      <c r="H302" s="3"/>
      <c r="I302" s="3"/>
      <c r="J302" s="3"/>
      <c r="K302" s="79">
        <f t="shared" ref="K302:T302" si="480">K296-K298-K301</f>
        <v>150614</v>
      </c>
      <c r="L302" s="79">
        <f t="shared" si="480"/>
        <v>175068</v>
      </c>
      <c r="M302" s="79">
        <f t="shared" si="480"/>
        <v>180767</v>
      </c>
      <c r="N302" s="79">
        <f t="shared" si="480"/>
        <v>167294</v>
      </c>
      <c r="O302" s="79">
        <f t="shared" si="480"/>
        <v>141587</v>
      </c>
      <c r="P302" s="79">
        <f t="shared" si="480"/>
        <v>56471</v>
      </c>
      <c r="Q302" s="79">
        <f t="shared" si="480"/>
        <v>7098</v>
      </c>
      <c r="R302" s="79">
        <f t="shared" si="480"/>
        <v>34158</v>
      </c>
      <c r="S302" s="79">
        <f t="shared" si="480"/>
        <v>43391</v>
      </c>
      <c r="T302" s="79">
        <f t="shared" si="480"/>
        <v>-23615</v>
      </c>
      <c r="U302" s="79">
        <f t="shared" ref="U302:AA302" ca="1" si="481">U296-U298-U301</f>
        <v>61251.904448067726</v>
      </c>
      <c r="V302" s="79">
        <f t="shared" ca="1" si="481"/>
        <v>77946.188451659138</v>
      </c>
      <c r="W302" s="79">
        <f t="shared" ca="1" si="481"/>
        <v>108038.43194093388</v>
      </c>
      <c r="X302" s="79">
        <f t="shared" ca="1" si="481"/>
        <v>133865.39037920092</v>
      </c>
      <c r="Y302" s="79">
        <f t="shared" ca="1" si="481"/>
        <v>164712.46068317417</v>
      </c>
      <c r="Z302" s="79">
        <f t="shared" ca="1" si="481"/>
        <v>194755.19525503891</v>
      </c>
      <c r="AA302" s="79">
        <f t="shared" ca="1" si="481"/>
        <v>227392.82030677507</v>
      </c>
      <c r="AB302" s="79">
        <f t="shared" ref="AB302" ca="1" si="482">AB296-AB298-AB301</f>
        <v>257579.74930555923</v>
      </c>
    </row>
    <row r="303" spans="2:28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115"/>
      <c r="O303" s="11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2:28">
      <c r="B304" s="3" t="s">
        <v>258</v>
      </c>
      <c r="C304" s="3"/>
      <c r="D304" s="3"/>
      <c r="E304" s="3"/>
      <c r="F304" s="3"/>
      <c r="G304" s="3"/>
      <c r="H304" s="3"/>
      <c r="I304" s="3"/>
      <c r="J304" s="3"/>
      <c r="K304" s="79">
        <f t="shared" ref="K304:V304" si="483">K302/K329</f>
        <v>636.84566596194509</v>
      </c>
      <c r="L304" s="79">
        <f t="shared" si="483"/>
        <v>740.24524312896403</v>
      </c>
      <c r="M304" s="79">
        <f t="shared" si="483"/>
        <v>764.3424947145877</v>
      </c>
      <c r="N304" s="79">
        <f t="shared" si="483"/>
        <v>707.37420718816065</v>
      </c>
      <c r="O304" s="79">
        <f t="shared" si="483"/>
        <v>598.67653276955605</v>
      </c>
      <c r="P304" s="79">
        <f t="shared" si="483"/>
        <v>238.77801268498942</v>
      </c>
      <c r="Q304" s="79">
        <f t="shared" si="483"/>
        <v>30.012684989429175</v>
      </c>
      <c r="R304" s="79">
        <f t="shared" si="483"/>
        <v>113.80020747432287</v>
      </c>
      <c r="S304" s="79">
        <f t="shared" si="483"/>
        <v>144.56071205920557</v>
      </c>
      <c r="T304" s="79">
        <f t="shared" si="483"/>
        <v>-78.67532933737732</v>
      </c>
      <c r="U304" s="79">
        <f t="shared" ca="1" si="483"/>
        <v>204.06579525696782</v>
      </c>
      <c r="V304" s="79">
        <f t="shared" ca="1" si="483"/>
        <v>259.68418577292226</v>
      </c>
      <c r="W304" s="79">
        <f t="shared" ref="W304:AA304" ca="1" si="484">W302/W329</f>
        <v>359.93898852622476</v>
      </c>
      <c r="X304" s="79">
        <f t="shared" ca="1" si="484"/>
        <v>445.98364069278909</v>
      </c>
      <c r="Y304" s="79">
        <f t="shared" ca="1" si="484"/>
        <v>548.75321152735728</v>
      </c>
      <c r="Z304" s="79">
        <f t="shared" ca="1" si="484"/>
        <v>648.84307121979293</v>
      </c>
      <c r="AA304" s="79">
        <f t="shared" ca="1" si="484"/>
        <v>757.57802356936656</v>
      </c>
      <c r="AB304" s="79">
        <f t="shared" ref="AB304" ca="1" si="485">AB302/AB329</f>
        <v>858.14827894363577</v>
      </c>
    </row>
    <row r="305" spans="2:28">
      <c r="B305" s="3" t="s">
        <v>101</v>
      </c>
      <c r="C305" s="3"/>
      <c r="D305" s="3"/>
      <c r="E305" s="3"/>
      <c r="F305" s="3"/>
      <c r="G305" s="3"/>
      <c r="H305" s="3"/>
      <c r="I305" s="3"/>
      <c r="J305" s="3"/>
      <c r="K305" s="79">
        <f>K281-K293-K298</f>
        <v>174368</v>
      </c>
      <c r="L305" s="79">
        <f t="shared" ref="L305:V305" si="486">L281-L293-L298</f>
        <v>212524</v>
      </c>
      <c r="M305" s="79">
        <f t="shared" si="486"/>
        <v>211638</v>
      </c>
      <c r="N305" s="79">
        <f t="shared" si="486"/>
        <v>235093</v>
      </c>
      <c r="O305" s="79">
        <f>O281-O293-O298</f>
        <v>24440.479545454495</v>
      </c>
      <c r="P305" s="79">
        <f>P281-P293-P298</f>
        <v>-218068</v>
      </c>
      <c r="Q305" s="79">
        <f>Q281-Q293-Q298</f>
        <v>-150423</v>
      </c>
      <c r="R305" s="79">
        <f t="shared" si="486"/>
        <v>-24456</v>
      </c>
      <c r="S305" s="79">
        <f>S281-S293-S298</f>
        <v>-20723</v>
      </c>
      <c r="T305" s="79">
        <f t="shared" si="486"/>
        <v>-119628</v>
      </c>
      <c r="U305" s="79">
        <f t="shared" ca="1" si="486"/>
        <v>-41819.76502449192</v>
      </c>
      <c r="V305" s="79">
        <f t="shared" ca="1" si="486"/>
        <v>-15089.773638999002</v>
      </c>
      <c r="W305" s="79">
        <f t="shared" ref="W305:AA305" ca="1" si="487">W281-W293-W298</f>
        <v>27839.020323729856</v>
      </c>
      <c r="X305" s="79">
        <f t="shared" ca="1" si="487"/>
        <v>60906.965918107846</v>
      </c>
      <c r="Y305" s="79">
        <f t="shared" ca="1" si="487"/>
        <v>116974.3595591778</v>
      </c>
      <c r="Z305" s="79">
        <f t="shared" ca="1" si="487"/>
        <v>157172.43356185395</v>
      </c>
      <c r="AA305" s="79">
        <f t="shared" ca="1" si="487"/>
        <v>205272.29887868263</v>
      </c>
      <c r="AB305" s="79">
        <f t="shared" ref="AB305" ca="1" si="488">AB281-AB293-AB298</f>
        <v>241379.47826051168</v>
      </c>
    </row>
    <row r="306" spans="2:28">
      <c r="B306" s="3" t="s">
        <v>915</v>
      </c>
      <c r="C306" s="3"/>
      <c r="D306" s="3"/>
      <c r="E306" s="3"/>
      <c r="F306" s="3"/>
      <c r="G306" s="3"/>
      <c r="H306" s="3"/>
      <c r="I306" s="3"/>
      <c r="J306" s="3"/>
      <c r="K306" s="79"/>
      <c r="L306" s="79"/>
      <c r="M306" s="79">
        <f>M324-(M308+M309-M305)</f>
        <v>137861.5</v>
      </c>
      <c r="N306" s="79">
        <f>N324-(N308+N309-N305)</f>
        <v>140671.5</v>
      </c>
      <c r="O306" s="79">
        <f>O324-(O308+O309-O305)</f>
        <v>99450.979545454495</v>
      </c>
      <c r="P306" s="79">
        <f>P324-(P308+P309-P305)</f>
        <v>-125495</v>
      </c>
      <c r="Q306" s="99">
        <v>-150000</v>
      </c>
      <c r="R306" s="99">
        <v>-100000</v>
      </c>
      <c r="S306" s="99">
        <v>-85000</v>
      </c>
      <c r="T306" s="99">
        <v>0</v>
      </c>
      <c r="U306" s="99">
        <v>0</v>
      </c>
      <c r="V306" s="99">
        <v>0</v>
      </c>
      <c r="W306" s="99">
        <v>0</v>
      </c>
      <c r="X306" s="99">
        <v>0</v>
      </c>
      <c r="Y306" s="99">
        <v>0</v>
      </c>
      <c r="Z306" s="99">
        <v>0</v>
      </c>
      <c r="AA306" s="99">
        <v>0</v>
      </c>
      <c r="AB306" s="99">
        <v>0</v>
      </c>
    </row>
    <row r="307" spans="2:28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79"/>
      <c r="N307" s="79"/>
      <c r="O307" s="79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2:28">
      <c r="B308" s="3" t="s">
        <v>786</v>
      </c>
      <c r="C308" s="3"/>
      <c r="D308" s="3"/>
      <c r="E308" s="3"/>
      <c r="F308" s="3"/>
      <c r="G308" s="3"/>
      <c r="H308" s="3"/>
      <c r="I308" s="3"/>
      <c r="J308" s="3"/>
      <c r="K308" s="84">
        <v>0</v>
      </c>
      <c r="L308" s="84">
        <v>0</v>
      </c>
      <c r="M308" s="84">
        <v>0</v>
      </c>
      <c r="N308" s="84">
        <v>0</v>
      </c>
      <c r="O308" s="301">
        <f>(410+105)*510</f>
        <v>262650</v>
      </c>
      <c r="P308" s="301">
        <v>6360</v>
      </c>
      <c r="Q308" s="84">
        <v>0</v>
      </c>
      <c r="R308" s="301">
        <v>190600</v>
      </c>
      <c r="S308" s="301"/>
      <c r="T308" s="301"/>
      <c r="U308" s="84">
        <v>0</v>
      </c>
      <c r="V308" s="84">
        <v>0</v>
      </c>
      <c r="W308" s="84">
        <v>0</v>
      </c>
      <c r="X308" s="84">
        <v>0</v>
      </c>
      <c r="Y308" s="84">
        <v>0</v>
      </c>
      <c r="Z308" s="84">
        <v>0</v>
      </c>
      <c r="AA308" s="84">
        <v>0</v>
      </c>
      <c r="AB308" s="84">
        <v>0</v>
      </c>
    </row>
    <row r="309" spans="2:28">
      <c r="B309" s="3" t="s">
        <v>102</v>
      </c>
      <c r="C309" s="3"/>
      <c r="D309" s="3"/>
      <c r="E309" s="3"/>
      <c r="F309" s="3"/>
      <c r="G309" s="3"/>
      <c r="H309" s="3"/>
      <c r="I309" s="3"/>
      <c r="J309" s="3"/>
      <c r="K309" s="81">
        <v>104654</v>
      </c>
      <c r="L309" s="79">
        <f t="shared" ref="L309:R309" si="489">(L317*L329)+(K318*K329)</f>
        <v>141900</v>
      </c>
      <c r="M309" s="79">
        <f t="shared" si="489"/>
        <v>128892.5</v>
      </c>
      <c r="N309" s="79">
        <f t="shared" si="489"/>
        <v>131257.5</v>
      </c>
      <c r="O309" s="79">
        <f t="shared" si="489"/>
        <v>88687.5</v>
      </c>
      <c r="P309" s="79">
        <f t="shared" si="489"/>
        <v>54395</v>
      </c>
      <c r="Q309" s="79">
        <f t="shared" si="489"/>
        <v>8041</v>
      </c>
      <c r="R309" s="79">
        <f t="shared" si="489"/>
        <v>0</v>
      </c>
      <c r="S309" s="79">
        <f>(S317*S329)+(S318*R329)</f>
        <v>4502.3643750000001</v>
      </c>
      <c r="T309" s="79">
        <f>(T317*T329)+(T318*S329)</f>
        <v>10205.35925</v>
      </c>
      <c r="U309" s="79">
        <f t="shared" ref="U309:AB309" si="490">(U317*U329)+(U318*T329)</f>
        <v>0</v>
      </c>
      <c r="V309" s="79">
        <f t="shared" si="490"/>
        <v>15007.88125</v>
      </c>
      <c r="W309" s="79">
        <f t="shared" si="490"/>
        <v>19510.245625</v>
      </c>
      <c r="X309" s="79">
        <f t="shared" si="490"/>
        <v>22436.78246875</v>
      </c>
      <c r="Y309" s="79">
        <f t="shared" si="490"/>
        <v>25802.299839062496</v>
      </c>
      <c r="Z309" s="79">
        <f t="shared" si="490"/>
        <v>28382.529822968751</v>
      </c>
      <c r="AA309" s="79">
        <f t="shared" si="490"/>
        <v>31220.782805265626</v>
      </c>
      <c r="AB309" s="79">
        <f t="shared" si="490"/>
        <v>34342.861085792196</v>
      </c>
    </row>
    <row r="310" spans="2:28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7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2:28">
      <c r="B311" s="3" t="s">
        <v>1718</v>
      </c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161">
        <v>353700</v>
      </c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2:28">
      <c r="B312" s="3" t="s">
        <v>1719</v>
      </c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161">
        <v>5400</v>
      </c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2:28">
      <c r="B313" s="3" t="s">
        <v>1720</v>
      </c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407">
        <v>63.657625000000003</v>
      </c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2:28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2:28">
      <c r="B315" s="3" t="s">
        <v>103</v>
      </c>
      <c r="C315" s="3"/>
      <c r="D315" s="3"/>
      <c r="E315" s="3"/>
      <c r="F315" s="3"/>
      <c r="G315" s="3"/>
      <c r="H315" s="3"/>
      <c r="I315" s="3"/>
      <c r="J315" s="3"/>
      <c r="K315" s="7">
        <f>K317+K318</f>
        <v>450</v>
      </c>
      <c r="L315" s="7">
        <f>L317+L318</f>
        <v>545</v>
      </c>
      <c r="M315" s="7">
        <f>M317+M318</f>
        <v>555</v>
      </c>
      <c r="N315" s="7">
        <f>N317+N318</f>
        <v>375</v>
      </c>
      <c r="O315" s="7">
        <f>O317+O318</f>
        <v>300</v>
      </c>
      <c r="P315" s="99">
        <v>114</v>
      </c>
      <c r="Q315" s="99">
        <v>0</v>
      </c>
      <c r="R315" s="99">
        <v>0</v>
      </c>
      <c r="S315" s="99">
        <v>15</v>
      </c>
      <c r="T315" s="99">
        <v>34</v>
      </c>
      <c r="U315" s="99">
        <v>0</v>
      </c>
      <c r="V315" s="99">
        <v>50</v>
      </c>
      <c r="W315" s="7">
        <f t="shared" ref="W315:AB315" si="491">(1+W316)*V315</f>
        <v>65</v>
      </c>
      <c r="X315" s="7">
        <f t="shared" si="491"/>
        <v>74.75</v>
      </c>
      <c r="Y315" s="7">
        <f t="shared" si="491"/>
        <v>85.962499999999991</v>
      </c>
      <c r="Z315" s="7">
        <f t="shared" si="491"/>
        <v>94.558750000000003</v>
      </c>
      <c r="AA315" s="7">
        <f t="shared" si="491"/>
        <v>104.01462500000001</v>
      </c>
      <c r="AB315" s="7">
        <f t="shared" si="491"/>
        <v>114.41608750000002</v>
      </c>
    </row>
    <row r="316" spans="2:28">
      <c r="B316" s="3" t="s">
        <v>63</v>
      </c>
      <c r="C316" s="3"/>
      <c r="D316" s="3"/>
      <c r="E316" s="3"/>
      <c r="F316" s="3"/>
      <c r="G316" s="3"/>
      <c r="H316" s="3"/>
      <c r="I316" s="3"/>
      <c r="J316" s="3"/>
      <c r="K316" s="7"/>
      <c r="L316" s="5">
        <f>L315/K315-1</f>
        <v>0.21111111111111103</v>
      </c>
      <c r="M316" s="5">
        <f>M315/L315-1</f>
        <v>1.8348623853210899E-2</v>
      </c>
      <c r="N316" s="5">
        <f>N315/M315-1</f>
        <v>-0.32432432432432434</v>
      </c>
      <c r="O316" s="5">
        <f>O315/N315-1</f>
        <v>-0.19999999999999996</v>
      </c>
      <c r="P316" s="76">
        <v>-0.62</v>
      </c>
      <c r="Q316" s="76">
        <v>-0.9</v>
      </c>
      <c r="R316" s="5"/>
      <c r="S316" s="5"/>
      <c r="T316" s="5">
        <f>T315/S315-1</f>
        <v>1.2666666666666666</v>
      </c>
      <c r="U316" s="5">
        <f>U315/T315-1</f>
        <v>-1</v>
      </c>
      <c r="V316" s="5" t="e">
        <f>V315/U315-1</f>
        <v>#DIV/0!</v>
      </c>
      <c r="W316" s="76">
        <v>0.3</v>
      </c>
      <c r="X316" s="76">
        <v>0.15</v>
      </c>
      <c r="Y316" s="76">
        <v>0.15</v>
      </c>
      <c r="Z316" s="76">
        <v>0.1</v>
      </c>
      <c r="AA316" s="76">
        <v>0.1</v>
      </c>
      <c r="AB316" s="76">
        <v>0.1</v>
      </c>
    </row>
    <row r="317" spans="2:28">
      <c r="B317" s="3" t="s">
        <v>728</v>
      </c>
      <c r="C317" s="3"/>
      <c r="D317" s="3"/>
      <c r="E317" s="3"/>
      <c r="F317" s="3"/>
      <c r="G317" s="3"/>
      <c r="H317" s="3"/>
      <c r="I317" s="3"/>
      <c r="J317" s="3"/>
      <c r="K317" s="7"/>
      <c r="L317" s="99">
        <v>150</v>
      </c>
      <c r="M317" s="99">
        <v>150</v>
      </c>
      <c r="N317" s="99">
        <v>150</v>
      </c>
      <c r="O317" s="99">
        <f>N317</f>
        <v>150</v>
      </c>
      <c r="P317" s="99">
        <v>80</v>
      </c>
      <c r="Q317" s="99">
        <v>0</v>
      </c>
      <c r="R317" s="374"/>
      <c r="S317" s="374">
        <f t="shared" ref="S317:AB317" si="492">R317</f>
        <v>0</v>
      </c>
      <c r="T317" s="374">
        <f t="shared" si="492"/>
        <v>0</v>
      </c>
      <c r="U317" s="374">
        <f t="shared" si="492"/>
        <v>0</v>
      </c>
      <c r="V317" s="374">
        <f t="shared" si="492"/>
        <v>0</v>
      </c>
      <c r="W317" s="374">
        <f t="shared" si="492"/>
        <v>0</v>
      </c>
      <c r="X317" s="374">
        <f t="shared" si="492"/>
        <v>0</v>
      </c>
      <c r="Y317" s="374">
        <f t="shared" si="492"/>
        <v>0</v>
      </c>
      <c r="Z317" s="374">
        <f t="shared" si="492"/>
        <v>0</v>
      </c>
      <c r="AA317" s="374">
        <f t="shared" si="492"/>
        <v>0</v>
      </c>
      <c r="AB317" s="374">
        <f t="shared" si="492"/>
        <v>0</v>
      </c>
    </row>
    <row r="318" spans="2:28">
      <c r="B318" s="3" t="s">
        <v>729</v>
      </c>
      <c r="C318" s="3"/>
      <c r="D318" s="3"/>
      <c r="E318" s="3"/>
      <c r="F318" s="3"/>
      <c r="G318" s="3"/>
      <c r="H318" s="3"/>
      <c r="I318" s="3"/>
      <c r="J318" s="3"/>
      <c r="K318" s="99">
        <f>350+100</f>
        <v>450</v>
      </c>
      <c r="L318" s="99">
        <f>545-L317</f>
        <v>395</v>
      </c>
      <c r="M318" s="99">
        <f>555-M317</f>
        <v>405</v>
      </c>
      <c r="N318" s="99">
        <f>375-N317</f>
        <v>225</v>
      </c>
      <c r="O318" s="99">
        <f>300-O317</f>
        <v>150</v>
      </c>
      <c r="P318" s="7">
        <f t="shared" ref="P318:V318" si="493">P315-P317</f>
        <v>34</v>
      </c>
      <c r="Q318" s="7">
        <f t="shared" si="493"/>
        <v>0</v>
      </c>
      <c r="R318" s="7">
        <f t="shared" si="493"/>
        <v>0</v>
      </c>
      <c r="S318" s="7">
        <f t="shared" si="493"/>
        <v>15</v>
      </c>
      <c r="T318" s="7">
        <f t="shared" si="493"/>
        <v>34</v>
      </c>
      <c r="U318" s="7">
        <f t="shared" si="493"/>
        <v>0</v>
      </c>
      <c r="V318" s="7">
        <f t="shared" si="493"/>
        <v>50</v>
      </c>
      <c r="W318" s="7">
        <f t="shared" ref="W318:AA318" si="494">W315-W317</f>
        <v>65</v>
      </c>
      <c r="X318" s="7">
        <f t="shared" si="494"/>
        <v>74.75</v>
      </c>
      <c r="Y318" s="7">
        <f t="shared" si="494"/>
        <v>85.962499999999991</v>
      </c>
      <c r="Z318" s="7">
        <f t="shared" si="494"/>
        <v>94.558750000000003</v>
      </c>
      <c r="AA318" s="7">
        <f t="shared" si="494"/>
        <v>104.01462500000001</v>
      </c>
      <c r="AB318" s="7">
        <f t="shared" ref="AB318" si="495">AB315-AB317</f>
        <v>114.41608750000002</v>
      </c>
    </row>
    <row r="319" spans="2:28">
      <c r="B319" s="3"/>
      <c r="C319" s="3"/>
      <c r="D319" s="3"/>
      <c r="E319" s="3"/>
      <c r="F319" s="3"/>
      <c r="G319" s="3"/>
      <c r="H319" s="3"/>
      <c r="I319" s="3"/>
      <c r="J319" s="3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2:28">
      <c r="B320" s="3" t="s">
        <v>104</v>
      </c>
      <c r="C320" s="3"/>
      <c r="D320" s="3"/>
      <c r="E320" s="3"/>
      <c r="F320" s="3"/>
      <c r="G320" s="3"/>
      <c r="H320" s="3"/>
      <c r="I320" s="3"/>
      <c r="J320" s="3"/>
      <c r="K320" s="5">
        <f t="shared" ref="K320:S320" si="496">L309/K305</f>
        <v>0.8137961093778675</v>
      </c>
      <c r="L320" s="5">
        <f t="shared" si="496"/>
        <v>0.6064844441098417</v>
      </c>
      <c r="M320" s="5">
        <f t="shared" si="496"/>
        <v>0.62019816857086152</v>
      </c>
      <c r="N320" s="5">
        <f t="shared" si="496"/>
        <v>0.37724432458644025</v>
      </c>
      <c r="O320" s="5">
        <f t="shared" si="496"/>
        <v>2.2256109950230711</v>
      </c>
      <c r="P320" s="5">
        <f>Q309/P305</f>
        <v>-3.6873819175669974E-2</v>
      </c>
      <c r="Q320" s="5">
        <f t="shared" si="496"/>
        <v>0</v>
      </c>
      <c r="R320" s="5">
        <f t="shared" si="496"/>
        <v>-0.18410060414622179</v>
      </c>
      <c r="S320" s="5">
        <f t="shared" si="496"/>
        <v>-0.49246534044298601</v>
      </c>
      <c r="T320" s="5">
        <f t="shared" ref="T320:AB320" si="497">W309/T305</f>
        <v>-0.16309096219112582</v>
      </c>
      <c r="U320" s="5">
        <f t="shared" ca="1" si="497"/>
        <v>-0.53651144274985296</v>
      </c>
      <c r="V320" s="5">
        <f t="shared" ca="1" si="497"/>
        <v>-1.7099196088917687</v>
      </c>
      <c r="W320" s="5">
        <f t="shared" ca="1" si="497"/>
        <v>1.019523298338757</v>
      </c>
      <c r="X320" s="5">
        <f t="shared" ca="1" si="497"/>
        <v>0.5125978996760957</v>
      </c>
      <c r="Y320" s="5">
        <f t="shared" ca="1" si="497"/>
        <v>0.29359306787585365</v>
      </c>
      <c r="Z320" s="5">
        <f t="shared" ca="1" si="497"/>
        <v>0</v>
      </c>
      <c r="AA320" s="5">
        <f t="shared" ca="1" si="497"/>
        <v>0</v>
      </c>
      <c r="AB320" s="5">
        <f t="shared" ca="1" si="497"/>
        <v>0</v>
      </c>
    </row>
    <row r="321" spans="2:28">
      <c r="B321" s="3" t="s">
        <v>105</v>
      </c>
      <c r="C321" s="3"/>
      <c r="D321" s="3"/>
      <c r="E321" s="3"/>
      <c r="F321" s="3"/>
      <c r="G321" s="3"/>
      <c r="H321" s="3"/>
      <c r="I321" s="3"/>
      <c r="J321" s="3"/>
      <c r="K321" s="5">
        <f t="shared" ref="K321:R321" si="498">K315/K304</f>
        <v>0.70660761947760498</v>
      </c>
      <c r="L321" s="5">
        <f t="shared" si="498"/>
        <v>0.73624248863298836</v>
      </c>
      <c r="M321" s="5">
        <f t="shared" si="498"/>
        <v>0.72611427970813258</v>
      </c>
      <c r="N321" s="5">
        <f t="shared" si="498"/>
        <v>0.53012959221490308</v>
      </c>
      <c r="O321" s="5">
        <f t="shared" si="498"/>
        <v>0.50110532746650471</v>
      </c>
      <c r="P321" s="5">
        <f t="shared" si="498"/>
        <v>0.47743089373306657</v>
      </c>
      <c r="Q321" s="5">
        <f t="shared" si="498"/>
        <v>0</v>
      </c>
      <c r="R321" s="5">
        <f t="shared" si="498"/>
        <v>0</v>
      </c>
      <c r="S321" s="5">
        <f>S315/R304</f>
        <v>0.13180995301247145</v>
      </c>
      <c r="T321" s="5">
        <f>T315/S304</f>
        <v>0.23519529971653105</v>
      </c>
      <c r="U321" s="5">
        <f t="shared" ref="U321:AB321" si="499">U315/T304</f>
        <v>0</v>
      </c>
      <c r="V321" s="5">
        <f t="shared" ca="1" si="499"/>
        <v>0.24501901426957909</v>
      </c>
      <c r="W321" s="5">
        <f t="shared" ca="1" si="499"/>
        <v>0.25030403683048486</v>
      </c>
      <c r="X321" s="5">
        <f t="shared" ca="1" si="499"/>
        <v>0.20767408472770602</v>
      </c>
      <c r="Y321" s="5">
        <f t="shared" ca="1" si="499"/>
        <v>0.19274810140225371</v>
      </c>
      <c r="Z321" s="5">
        <f t="shared" ca="1" si="499"/>
        <v>0.17231562023448116</v>
      </c>
      <c r="AA321" s="5">
        <f t="shared" ca="1" si="499"/>
        <v>0.16030783037330992</v>
      </c>
      <c r="AB321" s="5">
        <f t="shared" ca="1" si="499"/>
        <v>0.15102878375605847</v>
      </c>
    </row>
    <row r="322" spans="2:28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2:28">
      <c r="B323" s="3" t="s">
        <v>181</v>
      </c>
      <c r="C323" s="3"/>
      <c r="D323" s="3"/>
      <c r="E323" s="3"/>
      <c r="F323" s="3"/>
      <c r="G323" s="3"/>
      <c r="H323" s="3"/>
      <c r="I323" s="3"/>
      <c r="J323" s="3"/>
      <c r="K323" s="86">
        <v>341600</v>
      </c>
      <c r="L323" s="86">
        <v>282700</v>
      </c>
      <c r="M323" s="86">
        <v>337816</v>
      </c>
      <c r="N323" s="86">
        <v>374652</v>
      </c>
      <c r="O323" s="86">
        <v>801000</v>
      </c>
      <c r="P323" s="86">
        <v>954328</v>
      </c>
      <c r="Q323" s="86">
        <v>1267873</v>
      </c>
      <c r="R323" s="86">
        <v>1374100</v>
      </c>
      <c r="S323" s="86">
        <v>1443171</v>
      </c>
      <c r="T323" s="86">
        <f>Interims!AX201</f>
        <v>1638065</v>
      </c>
      <c r="U323" s="87">
        <f ca="1">T323-U305+U309+U308-U306-U311</f>
        <v>1679884.7650244918</v>
      </c>
      <c r="V323" s="87">
        <f t="shared" ref="V323:AB323" ca="1" si="500">U323-V305+V309+V308-V306-V311</f>
        <v>1709982.419913491</v>
      </c>
      <c r="W323" s="87">
        <f t="shared" ca="1" si="500"/>
        <v>1701653.6452147611</v>
      </c>
      <c r="X323" s="87">
        <f t="shared" ca="1" si="500"/>
        <v>1663183.4617654032</v>
      </c>
      <c r="Y323" s="87">
        <f t="shared" ca="1" si="500"/>
        <v>1572011.4020452877</v>
      </c>
      <c r="Z323" s="87">
        <f t="shared" ca="1" si="500"/>
        <v>1443221.4983064022</v>
      </c>
      <c r="AA323" s="87">
        <f t="shared" ca="1" si="500"/>
        <v>1269169.9822329853</v>
      </c>
      <c r="AB323" s="87">
        <f t="shared" ca="1" si="500"/>
        <v>1062133.3650582659</v>
      </c>
    </row>
    <row r="324" spans="2:28">
      <c r="B324" s="3" t="s">
        <v>378</v>
      </c>
      <c r="C324" s="3"/>
      <c r="D324" s="3"/>
      <c r="E324" s="3"/>
      <c r="F324" s="3"/>
      <c r="G324" s="3"/>
      <c r="H324" s="3"/>
      <c r="I324" s="3"/>
      <c r="J324" s="3"/>
      <c r="K324" s="3"/>
      <c r="L324" s="87">
        <f t="shared" ref="L324:AB324" si="501">L323-K323</f>
        <v>-58900</v>
      </c>
      <c r="M324" s="87">
        <f t="shared" si="501"/>
        <v>55116</v>
      </c>
      <c r="N324" s="87">
        <f t="shared" si="501"/>
        <v>36836</v>
      </c>
      <c r="O324" s="87">
        <f t="shared" si="501"/>
        <v>426348</v>
      </c>
      <c r="P324" s="87">
        <f t="shared" si="501"/>
        <v>153328</v>
      </c>
      <c r="Q324" s="87">
        <f t="shared" si="501"/>
        <v>313545</v>
      </c>
      <c r="R324" s="87">
        <f t="shared" si="501"/>
        <v>106227</v>
      </c>
      <c r="S324" s="87">
        <f t="shared" si="501"/>
        <v>69071</v>
      </c>
      <c r="T324" s="87">
        <f t="shared" si="501"/>
        <v>194894</v>
      </c>
      <c r="U324" s="87">
        <f t="shared" ca="1" si="501"/>
        <v>41819.765024491819</v>
      </c>
      <c r="V324" s="87">
        <f t="shared" ca="1" si="501"/>
        <v>30097.654888999183</v>
      </c>
      <c r="W324" s="87">
        <f t="shared" ca="1" si="501"/>
        <v>-8328.7746987298597</v>
      </c>
      <c r="X324" s="87">
        <f t="shared" ca="1" si="501"/>
        <v>-38470.183449357981</v>
      </c>
      <c r="Y324" s="87">
        <f t="shared" ca="1" si="501"/>
        <v>-91172.059720115503</v>
      </c>
      <c r="Z324" s="87">
        <f t="shared" ca="1" si="501"/>
        <v>-128789.90373888542</v>
      </c>
      <c r="AA324" s="87">
        <f t="shared" ca="1" si="501"/>
        <v>-174051.51607341692</v>
      </c>
      <c r="AB324" s="87">
        <f t="shared" ca="1" si="501"/>
        <v>-207036.61717471946</v>
      </c>
    </row>
    <row r="325" spans="2:28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  <c r="Z325" s="87"/>
      <c r="AA325" s="87"/>
      <c r="AB325" s="87"/>
    </row>
    <row r="326" spans="2:28">
      <c r="B326" s="3" t="s">
        <v>1711</v>
      </c>
      <c r="C326" s="3"/>
      <c r="D326" s="3"/>
      <c r="E326" s="3"/>
      <c r="F326" s="3"/>
      <c r="G326" s="3"/>
      <c r="H326" s="3"/>
      <c r="I326" s="3"/>
      <c r="J326" s="3"/>
      <c r="K326" s="3"/>
      <c r="L326" s="87"/>
      <c r="M326" s="87"/>
      <c r="N326" s="87"/>
      <c r="O326" s="86">
        <v>815056</v>
      </c>
      <c r="P326" s="86">
        <v>1451505</v>
      </c>
      <c r="Q326" s="86">
        <f>Q346+Q350</f>
        <v>1404368</v>
      </c>
      <c r="R326" s="86">
        <f>R346+R350</f>
        <v>1485015</v>
      </c>
      <c r="S326" s="86">
        <v>1584677</v>
      </c>
      <c r="T326" s="86">
        <f>S326</f>
        <v>1584677</v>
      </c>
      <c r="U326" s="87">
        <f t="shared" ref="U326:AB326" si="502">T326</f>
        <v>1584677</v>
      </c>
      <c r="V326" s="87">
        <f t="shared" si="502"/>
        <v>1584677</v>
      </c>
      <c r="W326" s="87">
        <f t="shared" si="502"/>
        <v>1584677</v>
      </c>
      <c r="X326" s="87">
        <f t="shared" si="502"/>
        <v>1584677</v>
      </c>
      <c r="Y326" s="87">
        <f t="shared" si="502"/>
        <v>1584677</v>
      </c>
      <c r="Z326" s="87">
        <f t="shared" si="502"/>
        <v>1584677</v>
      </c>
      <c r="AA326" s="87">
        <f t="shared" si="502"/>
        <v>1584677</v>
      </c>
      <c r="AB326" s="87">
        <f t="shared" si="502"/>
        <v>1584677</v>
      </c>
    </row>
    <row r="327" spans="2:28">
      <c r="B327" s="3" t="s">
        <v>1709</v>
      </c>
      <c r="C327" s="3"/>
      <c r="D327" s="3"/>
      <c r="E327" s="3"/>
      <c r="F327" s="3"/>
      <c r="G327" s="3"/>
      <c r="H327" s="3"/>
      <c r="I327" s="3"/>
      <c r="J327" s="3"/>
      <c r="K327" s="3"/>
      <c r="L327" s="87"/>
      <c r="M327" s="87"/>
      <c r="N327" s="87"/>
      <c r="O327" s="87">
        <f t="shared" ref="O327:V327" si="503">O326-O323</f>
        <v>14056</v>
      </c>
      <c r="P327" s="87">
        <f t="shared" si="503"/>
        <v>497177</v>
      </c>
      <c r="Q327" s="87">
        <f t="shared" si="503"/>
        <v>136495</v>
      </c>
      <c r="R327" s="87">
        <f t="shared" si="503"/>
        <v>110915</v>
      </c>
      <c r="S327" s="87">
        <f t="shared" si="503"/>
        <v>141506</v>
      </c>
      <c r="T327" s="87">
        <f t="shared" si="503"/>
        <v>-53388</v>
      </c>
      <c r="U327" s="87">
        <f t="shared" ca="1" si="503"/>
        <v>-95207.765024491819</v>
      </c>
      <c r="V327" s="87">
        <f t="shared" ca="1" si="503"/>
        <v>-125305.419913491</v>
      </c>
      <c r="W327" s="87">
        <f t="shared" ref="W327:AA327" ca="1" si="504">W326-W323</f>
        <v>-116976.64521476114</v>
      </c>
      <c r="X327" s="87">
        <f t="shared" ca="1" si="504"/>
        <v>-78506.461765403161</v>
      </c>
      <c r="Y327" s="87">
        <f t="shared" ca="1" si="504"/>
        <v>12665.597954712342</v>
      </c>
      <c r="Z327" s="87">
        <f t="shared" ca="1" si="504"/>
        <v>141455.50169359776</v>
      </c>
      <c r="AA327" s="87">
        <f t="shared" ca="1" si="504"/>
        <v>315507.01776701468</v>
      </c>
      <c r="AB327" s="87">
        <f t="shared" ref="AB327" ca="1" si="505">AB326-AB323</f>
        <v>522543.63494173414</v>
      </c>
    </row>
    <row r="328" spans="2:28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87"/>
      <c r="M328" s="87"/>
      <c r="N328" s="87"/>
      <c r="O328" s="87"/>
      <c r="P328" s="87"/>
      <c r="Q328" s="87"/>
      <c r="R328" s="8"/>
      <c r="S328" s="87"/>
      <c r="T328" s="87"/>
      <c r="U328" s="87"/>
      <c r="V328" s="87"/>
      <c r="W328" s="87"/>
      <c r="X328" s="87"/>
      <c r="Y328" s="87"/>
      <c r="Z328" s="87"/>
      <c r="AA328" s="87"/>
      <c r="AB328" s="87"/>
    </row>
    <row r="329" spans="2:28">
      <c r="B329" s="3" t="s">
        <v>106</v>
      </c>
      <c r="C329" s="3"/>
      <c r="D329" s="3"/>
      <c r="E329" s="3"/>
      <c r="F329" s="3"/>
      <c r="G329" s="3"/>
      <c r="H329" s="3"/>
      <c r="I329" s="3"/>
      <c r="J329" s="3"/>
      <c r="K329" s="77">
        <v>236.5</v>
      </c>
      <c r="L329" s="77">
        <v>236.5</v>
      </c>
      <c r="M329" s="77">
        <v>236.5</v>
      </c>
      <c r="N329" s="77">
        <v>236.5</v>
      </c>
      <c r="O329" s="77">
        <v>236.5</v>
      </c>
      <c r="P329" s="77">
        <v>236.5</v>
      </c>
      <c r="Q329" s="77">
        <v>236.5</v>
      </c>
      <c r="R329" s="7">
        <f t="shared" ref="R329:AB329" si="506">Q329+R313</f>
        <v>300.157625</v>
      </c>
      <c r="S329" s="7">
        <f t="shared" si="506"/>
        <v>300.157625</v>
      </c>
      <c r="T329" s="7">
        <f t="shared" si="506"/>
        <v>300.157625</v>
      </c>
      <c r="U329" s="7">
        <f t="shared" si="506"/>
        <v>300.157625</v>
      </c>
      <c r="V329" s="7">
        <f t="shared" si="506"/>
        <v>300.157625</v>
      </c>
      <c r="W329" s="7">
        <f t="shared" si="506"/>
        <v>300.157625</v>
      </c>
      <c r="X329" s="7">
        <f t="shared" si="506"/>
        <v>300.157625</v>
      </c>
      <c r="Y329" s="7">
        <f t="shared" si="506"/>
        <v>300.157625</v>
      </c>
      <c r="Z329" s="7">
        <f t="shared" si="506"/>
        <v>300.157625</v>
      </c>
      <c r="AA329" s="7">
        <f t="shared" si="506"/>
        <v>300.157625</v>
      </c>
      <c r="AB329" s="7">
        <f t="shared" si="506"/>
        <v>300.157625</v>
      </c>
    </row>
    <row r="330" spans="2:28"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7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2:28">
      <c r="B331" s="117" t="s">
        <v>231</v>
      </c>
      <c r="C331" s="117">
        <f t="shared" ref="C331:V331" si="507">C131</f>
        <v>2001</v>
      </c>
      <c r="D331" s="117">
        <f t="shared" si="507"/>
        <v>2002</v>
      </c>
      <c r="E331" s="117">
        <f t="shared" si="507"/>
        <v>2003</v>
      </c>
      <c r="F331" s="117">
        <f t="shared" si="507"/>
        <v>2004</v>
      </c>
      <c r="G331" s="117">
        <f t="shared" si="507"/>
        <v>2005</v>
      </c>
      <c r="H331" s="117">
        <f t="shared" si="507"/>
        <v>2006</v>
      </c>
      <c r="I331" s="117">
        <f t="shared" si="507"/>
        <v>2007</v>
      </c>
      <c r="J331" s="117">
        <f t="shared" si="507"/>
        <v>2008</v>
      </c>
      <c r="K331" s="117">
        <f t="shared" si="507"/>
        <v>2009</v>
      </c>
      <c r="L331" s="117">
        <f t="shared" si="507"/>
        <v>2010</v>
      </c>
      <c r="M331" s="117">
        <f t="shared" si="507"/>
        <v>2011</v>
      </c>
      <c r="N331" s="117">
        <f t="shared" si="507"/>
        <v>2012</v>
      </c>
      <c r="O331" s="117">
        <f t="shared" si="507"/>
        <v>2013</v>
      </c>
      <c r="P331" s="117">
        <f t="shared" si="507"/>
        <v>2014</v>
      </c>
      <c r="Q331" s="117">
        <f t="shared" si="507"/>
        <v>2015</v>
      </c>
      <c r="R331" s="117">
        <f t="shared" si="507"/>
        <v>2016</v>
      </c>
      <c r="S331" s="117">
        <f t="shared" si="507"/>
        <v>2017</v>
      </c>
      <c r="T331" s="117">
        <f t="shared" si="507"/>
        <v>2018</v>
      </c>
      <c r="U331" s="117">
        <f t="shared" si="507"/>
        <v>2019</v>
      </c>
      <c r="V331" s="117">
        <f t="shared" si="507"/>
        <v>2020</v>
      </c>
      <c r="W331" s="117">
        <f t="shared" ref="W331:AA331" si="508">W131</f>
        <v>2021</v>
      </c>
      <c r="X331" s="117">
        <f t="shared" si="508"/>
        <v>2022</v>
      </c>
      <c r="Y331" s="117">
        <f t="shared" si="508"/>
        <v>2023</v>
      </c>
      <c r="Z331" s="117">
        <f t="shared" si="508"/>
        <v>2024</v>
      </c>
      <c r="AA331" s="117">
        <f t="shared" si="508"/>
        <v>2025</v>
      </c>
      <c r="AB331" s="117">
        <f t="shared" ref="AB331" si="509">AB131</f>
        <v>2026</v>
      </c>
    </row>
    <row r="332" spans="2:28"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2:28">
      <c r="B333" s="3" t="s">
        <v>1056</v>
      </c>
      <c r="C333" s="3"/>
      <c r="D333" s="3"/>
      <c r="E333" s="3"/>
      <c r="F333" s="3"/>
      <c r="G333" s="3"/>
      <c r="H333" s="3"/>
      <c r="I333" s="3"/>
      <c r="J333" s="3"/>
      <c r="K333" s="99">
        <v>63363</v>
      </c>
      <c r="L333" s="99">
        <v>75272</v>
      </c>
      <c r="M333" s="99">
        <v>23064</v>
      </c>
      <c r="N333" s="99">
        <v>53877</v>
      </c>
      <c r="O333" s="99">
        <f>19250+20144</f>
        <v>39394</v>
      </c>
      <c r="P333" s="99">
        <f>378919+121873</f>
        <v>500792</v>
      </c>
      <c r="Q333" s="99">
        <f>136495</f>
        <v>136495</v>
      </c>
      <c r="R333" s="99">
        <v>110915</v>
      </c>
      <c r="S333" s="99">
        <v>145646</v>
      </c>
      <c r="T333" s="99">
        <v>72248</v>
      </c>
      <c r="U333" s="7">
        <f t="shared" ref="U333:AB335" si="510">T333</f>
        <v>72248</v>
      </c>
      <c r="V333" s="7">
        <f t="shared" si="510"/>
        <v>72248</v>
      </c>
      <c r="W333" s="7">
        <f t="shared" si="510"/>
        <v>72248</v>
      </c>
      <c r="X333" s="7">
        <f t="shared" si="510"/>
        <v>72248</v>
      </c>
      <c r="Y333" s="7">
        <f t="shared" si="510"/>
        <v>72248</v>
      </c>
      <c r="Z333" s="7">
        <f t="shared" si="510"/>
        <v>72248</v>
      </c>
      <c r="AA333" s="7">
        <f t="shared" si="510"/>
        <v>72248</v>
      </c>
      <c r="AB333" s="7">
        <f t="shared" si="510"/>
        <v>72248</v>
      </c>
    </row>
    <row r="334" spans="2:28">
      <c r="B334" s="3" t="s">
        <v>107</v>
      </c>
      <c r="C334" s="3"/>
      <c r="D334" s="3"/>
      <c r="E334" s="3"/>
      <c r="F334" s="3"/>
      <c r="G334" s="3"/>
      <c r="H334" s="3"/>
      <c r="I334" s="3"/>
      <c r="J334" s="3"/>
      <c r="K334" s="161">
        <v>560</v>
      </c>
      <c r="L334" s="99">
        <v>469</v>
      </c>
      <c r="M334" s="99">
        <v>728</v>
      </c>
      <c r="N334" s="99">
        <v>380</v>
      </c>
      <c r="O334" s="99">
        <f>522+327741</f>
        <v>328263</v>
      </c>
      <c r="P334" s="99">
        <f>492+300591</f>
        <v>301083</v>
      </c>
      <c r="Q334" s="99">
        <v>308517</v>
      </c>
      <c r="R334" s="99">
        <v>330626</v>
      </c>
      <c r="S334" s="99">
        <v>346456</v>
      </c>
      <c r="T334" s="99">
        <v>438740</v>
      </c>
      <c r="U334" s="7">
        <f t="shared" si="510"/>
        <v>438740</v>
      </c>
      <c r="V334" s="7">
        <f t="shared" si="510"/>
        <v>438740</v>
      </c>
      <c r="W334" s="7">
        <f t="shared" si="510"/>
        <v>438740</v>
      </c>
      <c r="X334" s="7">
        <f t="shared" si="510"/>
        <v>438740</v>
      </c>
      <c r="Y334" s="7">
        <f t="shared" si="510"/>
        <v>438740</v>
      </c>
      <c r="Z334" s="7">
        <f t="shared" si="510"/>
        <v>438740</v>
      </c>
      <c r="AA334" s="7">
        <f t="shared" si="510"/>
        <v>438740</v>
      </c>
      <c r="AB334" s="7">
        <f t="shared" si="510"/>
        <v>438740</v>
      </c>
    </row>
    <row r="335" spans="2:28">
      <c r="B335" s="2" t="s">
        <v>108</v>
      </c>
      <c r="C335" s="2"/>
      <c r="D335" s="2"/>
      <c r="E335" s="2"/>
      <c r="F335" s="2"/>
      <c r="G335" s="2"/>
      <c r="H335" s="2"/>
      <c r="I335" s="2"/>
      <c r="J335" s="2"/>
      <c r="K335" s="2">
        <f t="shared" ref="K335:T335" si="511">K336-K333-K334</f>
        <v>257467</v>
      </c>
      <c r="L335" s="9">
        <f t="shared" si="511"/>
        <v>303936</v>
      </c>
      <c r="M335" s="9">
        <f t="shared" si="511"/>
        <v>341943</v>
      </c>
      <c r="N335" s="9">
        <f t="shared" si="511"/>
        <v>368581</v>
      </c>
      <c r="O335" s="9">
        <f t="shared" si="511"/>
        <v>200628</v>
      </c>
      <c r="P335" s="9">
        <f t="shared" si="511"/>
        <v>79566</v>
      </c>
      <c r="Q335" s="9">
        <f t="shared" si="511"/>
        <v>249254</v>
      </c>
      <c r="R335" s="9">
        <f t="shared" si="511"/>
        <v>326357</v>
      </c>
      <c r="S335" s="9">
        <f t="shared" si="511"/>
        <v>252844</v>
      </c>
      <c r="T335" s="9">
        <f t="shared" si="511"/>
        <v>299608</v>
      </c>
      <c r="U335" s="9">
        <f t="shared" si="510"/>
        <v>299608</v>
      </c>
      <c r="V335" s="9">
        <f t="shared" si="510"/>
        <v>299608</v>
      </c>
      <c r="W335" s="9">
        <f t="shared" si="510"/>
        <v>299608</v>
      </c>
      <c r="X335" s="9">
        <f t="shared" si="510"/>
        <v>299608</v>
      </c>
      <c r="Y335" s="9">
        <f t="shared" si="510"/>
        <v>299608</v>
      </c>
      <c r="Z335" s="9">
        <f t="shared" si="510"/>
        <v>299608</v>
      </c>
      <c r="AA335" s="9">
        <f t="shared" si="510"/>
        <v>299608</v>
      </c>
      <c r="AB335" s="9">
        <f t="shared" si="510"/>
        <v>299608</v>
      </c>
    </row>
    <row r="336" spans="2:28">
      <c r="B336" s="3" t="s">
        <v>109</v>
      </c>
      <c r="C336" s="3"/>
      <c r="D336" s="3"/>
      <c r="E336" s="3"/>
      <c r="F336" s="3"/>
      <c r="G336" s="3"/>
      <c r="H336" s="3"/>
      <c r="I336" s="3"/>
      <c r="J336" s="3"/>
      <c r="K336" s="99">
        <v>321390</v>
      </c>
      <c r="L336" s="99">
        <f>379677</f>
        <v>379677</v>
      </c>
      <c r="M336" s="99">
        <v>365735</v>
      </c>
      <c r="N336" s="99">
        <v>422838</v>
      </c>
      <c r="O336" s="99">
        <v>568285</v>
      </c>
      <c r="P336" s="99">
        <v>881441</v>
      </c>
      <c r="Q336" s="99">
        <v>694266</v>
      </c>
      <c r="R336" s="99">
        <v>767898</v>
      </c>
      <c r="S336" s="99">
        <v>744946</v>
      </c>
      <c r="T336" s="99">
        <v>810596</v>
      </c>
      <c r="U336" s="7">
        <f t="shared" ref="U336:AA336" si="512">SUM(U333:U335)</f>
        <v>810596</v>
      </c>
      <c r="V336" s="7">
        <f t="shared" si="512"/>
        <v>810596</v>
      </c>
      <c r="W336" s="7">
        <f t="shared" si="512"/>
        <v>810596</v>
      </c>
      <c r="X336" s="7">
        <f t="shared" si="512"/>
        <v>810596</v>
      </c>
      <c r="Y336" s="7">
        <f t="shared" si="512"/>
        <v>810596</v>
      </c>
      <c r="Z336" s="7">
        <f t="shared" si="512"/>
        <v>810596</v>
      </c>
      <c r="AA336" s="7">
        <f t="shared" si="512"/>
        <v>810596</v>
      </c>
      <c r="AB336" s="7">
        <f t="shared" ref="AB336" si="513">SUM(AB333:AB335)</f>
        <v>810596</v>
      </c>
    </row>
    <row r="337" spans="2:28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2:28">
      <c r="B338" s="3" t="s">
        <v>110</v>
      </c>
      <c r="C338" s="3"/>
      <c r="D338" s="3"/>
      <c r="E338" s="3"/>
      <c r="F338" s="3"/>
      <c r="G338" s="3"/>
      <c r="H338" s="3"/>
      <c r="I338" s="3"/>
      <c r="J338" s="3"/>
      <c r="K338" s="99">
        <v>932092</v>
      </c>
      <c r="L338" s="99">
        <v>978457</v>
      </c>
      <c r="M338" s="99">
        <v>1056555</v>
      </c>
      <c r="N338" s="99">
        <v>1117450</v>
      </c>
      <c r="O338" s="99">
        <v>1134267</v>
      </c>
      <c r="P338" s="99">
        <v>1614979</v>
      </c>
      <c r="Q338" s="99">
        <v>1785575</v>
      </c>
      <c r="R338" s="99">
        <v>1829611</v>
      </c>
      <c r="S338" s="99">
        <v>1876555</v>
      </c>
      <c r="T338" s="99">
        <v>2035133</v>
      </c>
      <c r="U338" s="7">
        <f t="shared" ref="U338:AB338" ca="1" si="514">T338+U255-U286</f>
        <v>2138204.6694725594</v>
      </c>
      <c r="V338" s="7">
        <f t="shared" ca="1" si="514"/>
        <v>2231240.6315632174</v>
      </c>
      <c r="W338" s="7">
        <f t="shared" ca="1" si="514"/>
        <v>2311440.0431804215</v>
      </c>
      <c r="X338" s="7">
        <f t="shared" ca="1" si="514"/>
        <v>2384398.4676415147</v>
      </c>
      <c r="Y338" s="7">
        <f t="shared" ca="1" si="514"/>
        <v>2432136.5687655108</v>
      </c>
      <c r="Z338" s="7">
        <f t="shared" ca="1" si="514"/>
        <v>2469719.3304586955</v>
      </c>
      <c r="AA338" s="7">
        <f t="shared" ca="1" si="514"/>
        <v>2491839.8518867879</v>
      </c>
      <c r="AB338" s="7">
        <f t="shared" ca="1" si="514"/>
        <v>2508040.1229318352</v>
      </c>
    </row>
    <row r="339" spans="2:28">
      <c r="B339" s="3" t="s">
        <v>111</v>
      </c>
      <c r="C339" s="3"/>
      <c r="D339" s="3"/>
      <c r="E339" s="3"/>
      <c r="F339" s="3"/>
      <c r="G339" s="3"/>
      <c r="H339" s="3"/>
      <c r="I339" s="3"/>
      <c r="J339" s="3"/>
      <c r="K339" s="99">
        <v>18987</v>
      </c>
      <c r="L339" s="99">
        <v>32665</v>
      </c>
      <c r="M339" s="99">
        <v>31118</v>
      </c>
      <c r="N339" s="99">
        <v>30371</v>
      </c>
      <c r="O339" s="99">
        <v>133035</v>
      </c>
      <c r="P339" s="99">
        <v>136924</v>
      </c>
      <c r="Q339" s="99">
        <v>140663</v>
      </c>
      <c r="R339" s="99">
        <v>321356</v>
      </c>
      <c r="S339" s="99">
        <v>298921</v>
      </c>
      <c r="T339" s="99">
        <v>314967</v>
      </c>
      <c r="U339" s="7">
        <f t="shared" ref="U339:AB339" si="515">T339+U308</f>
        <v>314967</v>
      </c>
      <c r="V339" s="7">
        <f t="shared" si="515"/>
        <v>314967</v>
      </c>
      <c r="W339" s="7">
        <f t="shared" si="515"/>
        <v>314967</v>
      </c>
      <c r="X339" s="7">
        <f t="shared" si="515"/>
        <v>314967</v>
      </c>
      <c r="Y339" s="7">
        <f t="shared" si="515"/>
        <v>314967</v>
      </c>
      <c r="Z339" s="7">
        <f t="shared" si="515"/>
        <v>314967</v>
      </c>
      <c r="AA339" s="7">
        <f t="shared" si="515"/>
        <v>314967</v>
      </c>
      <c r="AB339" s="7">
        <f t="shared" si="515"/>
        <v>314967</v>
      </c>
    </row>
    <row r="340" spans="2:28">
      <c r="B340" s="2" t="s">
        <v>108</v>
      </c>
      <c r="C340" s="2"/>
      <c r="D340" s="2"/>
      <c r="E340" s="2"/>
      <c r="F340" s="2"/>
      <c r="G340" s="2"/>
      <c r="H340" s="2"/>
      <c r="I340" s="2"/>
      <c r="J340" s="2"/>
      <c r="K340" s="9">
        <f t="shared" ref="K340:T340" si="516">K341-K338-K339</f>
        <v>92920</v>
      </c>
      <c r="L340" s="9">
        <f t="shared" si="516"/>
        <v>98475</v>
      </c>
      <c r="M340" s="9">
        <f t="shared" si="516"/>
        <v>104606</v>
      </c>
      <c r="N340" s="9">
        <f t="shared" si="516"/>
        <v>124596</v>
      </c>
      <c r="O340" s="9">
        <f t="shared" si="516"/>
        <v>421363</v>
      </c>
      <c r="P340" s="9">
        <f t="shared" si="516"/>
        <v>402452</v>
      </c>
      <c r="Q340" s="9">
        <f t="shared" si="516"/>
        <v>642452</v>
      </c>
      <c r="R340" s="9">
        <f t="shared" si="516"/>
        <v>561574</v>
      </c>
      <c r="S340" s="9">
        <f t="shared" si="516"/>
        <v>608618</v>
      </c>
      <c r="T340" s="9">
        <f t="shared" si="516"/>
        <v>803519</v>
      </c>
      <c r="U340" s="9">
        <f t="shared" ref="U340:AB340" si="517">T340</f>
        <v>803519</v>
      </c>
      <c r="V340" s="9">
        <f t="shared" si="517"/>
        <v>803519</v>
      </c>
      <c r="W340" s="9">
        <f t="shared" si="517"/>
        <v>803519</v>
      </c>
      <c r="X340" s="9">
        <f t="shared" si="517"/>
        <v>803519</v>
      </c>
      <c r="Y340" s="9">
        <f t="shared" si="517"/>
        <v>803519</v>
      </c>
      <c r="Z340" s="9">
        <f t="shared" si="517"/>
        <v>803519</v>
      </c>
      <c r="AA340" s="9">
        <f t="shared" si="517"/>
        <v>803519</v>
      </c>
      <c r="AB340" s="9">
        <f t="shared" si="517"/>
        <v>803519</v>
      </c>
    </row>
    <row r="341" spans="2:28">
      <c r="B341" s="3" t="s">
        <v>112</v>
      </c>
      <c r="C341" s="3"/>
      <c r="D341" s="3"/>
      <c r="E341" s="3"/>
      <c r="F341" s="3"/>
      <c r="G341" s="3"/>
      <c r="H341" s="3"/>
      <c r="I341" s="3"/>
      <c r="J341" s="3"/>
      <c r="K341" s="99">
        <v>1043999</v>
      </c>
      <c r="L341" s="99">
        <v>1109597</v>
      </c>
      <c r="M341" s="99">
        <v>1192279</v>
      </c>
      <c r="N341" s="99">
        <f>N338+154967</f>
        <v>1272417</v>
      </c>
      <c r="O341" s="99">
        <v>1688665</v>
      </c>
      <c r="P341" s="99">
        <v>2154355</v>
      </c>
      <c r="Q341" s="99">
        <v>2568690</v>
      </c>
      <c r="R341" s="99">
        <v>2712541</v>
      </c>
      <c r="S341" s="99">
        <v>2784094</v>
      </c>
      <c r="T341" s="99">
        <v>3153619</v>
      </c>
      <c r="U341" s="7">
        <f t="shared" ref="U341:AA341" ca="1" si="518">SUM(U338:U340)</f>
        <v>3256690.6694725594</v>
      </c>
      <c r="V341" s="7">
        <f t="shared" ca="1" si="518"/>
        <v>3349726.6315632174</v>
      </c>
      <c r="W341" s="7">
        <f t="shared" ca="1" si="518"/>
        <v>3429926.0431804215</v>
      </c>
      <c r="X341" s="7">
        <f t="shared" ca="1" si="518"/>
        <v>3502884.4676415147</v>
      </c>
      <c r="Y341" s="7">
        <f t="shared" ca="1" si="518"/>
        <v>3550622.5687655108</v>
      </c>
      <c r="Z341" s="7">
        <f t="shared" ca="1" si="518"/>
        <v>3588205.3304586955</v>
      </c>
      <c r="AA341" s="7">
        <f t="shared" ca="1" si="518"/>
        <v>3610325.8518867879</v>
      </c>
      <c r="AB341" s="7">
        <f t="shared" ref="AB341" ca="1" si="519">SUM(AB338:AB340)</f>
        <v>3626526.1229318352</v>
      </c>
    </row>
    <row r="342" spans="2:28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2:28">
      <c r="B343" s="3" t="s">
        <v>113</v>
      </c>
      <c r="C343" s="3"/>
      <c r="D343" s="3"/>
      <c r="E343" s="3"/>
      <c r="F343" s="3"/>
      <c r="G343" s="3"/>
      <c r="H343" s="3"/>
      <c r="I343" s="3"/>
      <c r="J343" s="3"/>
      <c r="K343" s="3">
        <f t="shared" ref="K343:V343" si="520">K336+K341</f>
        <v>1365389</v>
      </c>
      <c r="L343" s="3">
        <f t="shared" si="520"/>
        <v>1489274</v>
      </c>
      <c r="M343" s="7">
        <f t="shared" si="520"/>
        <v>1558014</v>
      </c>
      <c r="N343" s="7">
        <f t="shared" si="520"/>
        <v>1695255</v>
      </c>
      <c r="O343" s="7">
        <f t="shared" si="520"/>
        <v>2256950</v>
      </c>
      <c r="P343" s="7">
        <f t="shared" si="520"/>
        <v>3035796</v>
      </c>
      <c r="Q343" s="7">
        <f t="shared" si="520"/>
        <v>3262956</v>
      </c>
      <c r="R343" s="7">
        <f t="shared" si="520"/>
        <v>3480439</v>
      </c>
      <c r="S343" s="7">
        <f t="shared" si="520"/>
        <v>3529040</v>
      </c>
      <c r="T343" s="7">
        <f t="shared" si="520"/>
        <v>3964215</v>
      </c>
      <c r="U343" s="7">
        <f t="shared" ca="1" si="520"/>
        <v>4067286.6694725594</v>
      </c>
      <c r="V343" s="7">
        <f t="shared" ca="1" si="520"/>
        <v>4160322.6315632174</v>
      </c>
      <c r="W343" s="7">
        <f t="shared" ref="W343:AA343" ca="1" si="521">W336+W341</f>
        <v>4240522.043180421</v>
      </c>
      <c r="X343" s="7">
        <f t="shared" ca="1" si="521"/>
        <v>4313480.4676415147</v>
      </c>
      <c r="Y343" s="7">
        <f t="shared" ca="1" si="521"/>
        <v>4361218.5687655108</v>
      </c>
      <c r="Z343" s="7">
        <f t="shared" ca="1" si="521"/>
        <v>4398801.3304586951</v>
      </c>
      <c r="AA343" s="7">
        <f t="shared" ca="1" si="521"/>
        <v>4420921.8518867884</v>
      </c>
      <c r="AB343" s="7">
        <f t="shared" ref="AB343" ca="1" si="522">AB336+AB341</f>
        <v>4437122.1229318352</v>
      </c>
    </row>
    <row r="344" spans="2:28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2:28">
      <c r="B345" s="3" t="s">
        <v>114</v>
      </c>
      <c r="C345" s="3"/>
      <c r="D345" s="3"/>
      <c r="E345" s="3"/>
      <c r="F345" s="3"/>
      <c r="G345" s="3"/>
      <c r="H345" s="3"/>
      <c r="I345" s="3"/>
      <c r="J345" s="3"/>
      <c r="K345" s="161">
        <v>229426</v>
      </c>
      <c r="L345" s="161">
        <v>319275</v>
      </c>
      <c r="M345" s="161">
        <v>326225</v>
      </c>
      <c r="N345" s="161">
        <v>373510</v>
      </c>
      <c r="O345" s="161">
        <v>466529</v>
      </c>
      <c r="P345" s="161">
        <v>529009</v>
      </c>
      <c r="Q345" s="161">
        <v>525129</v>
      </c>
      <c r="R345" s="161">
        <v>505044</v>
      </c>
      <c r="S345" s="161">
        <v>545151</v>
      </c>
      <c r="T345" s="161">
        <v>553734</v>
      </c>
      <c r="U345" s="7">
        <f t="shared" ref="U345:AB345" si="523">T345</f>
        <v>553734</v>
      </c>
      <c r="V345" s="7">
        <f t="shared" si="523"/>
        <v>553734</v>
      </c>
      <c r="W345" s="7">
        <f t="shared" si="523"/>
        <v>553734</v>
      </c>
      <c r="X345" s="7">
        <f t="shared" si="523"/>
        <v>553734</v>
      </c>
      <c r="Y345" s="7">
        <f t="shared" si="523"/>
        <v>553734</v>
      </c>
      <c r="Z345" s="7">
        <f t="shared" si="523"/>
        <v>553734</v>
      </c>
      <c r="AA345" s="7">
        <f t="shared" si="523"/>
        <v>553734</v>
      </c>
      <c r="AB345" s="7">
        <f t="shared" si="523"/>
        <v>553734</v>
      </c>
    </row>
    <row r="346" spans="2:28">
      <c r="B346" s="3" t="s">
        <v>115</v>
      </c>
      <c r="C346" s="3"/>
      <c r="D346" s="3"/>
      <c r="E346" s="3"/>
      <c r="F346" s="3"/>
      <c r="G346" s="3"/>
      <c r="H346" s="3"/>
      <c r="I346" s="3"/>
      <c r="J346" s="3"/>
      <c r="K346" s="266">
        <f>K323+K333-K350</f>
        <v>40592</v>
      </c>
      <c r="L346" s="266">
        <f>L323+L333-L350</f>
        <v>7641</v>
      </c>
      <c r="M346" s="266">
        <f>M323+M333-M350</f>
        <v>7376</v>
      </c>
      <c r="N346" s="266">
        <v>28048</v>
      </c>
      <c r="O346" s="266">
        <v>27243</v>
      </c>
      <c r="P346" s="266">
        <v>20772</v>
      </c>
      <c r="Q346" s="266">
        <v>21736</v>
      </c>
      <c r="R346" s="266">
        <v>24867</v>
      </c>
      <c r="S346" s="266">
        <v>36540</v>
      </c>
      <c r="T346" s="266">
        <v>20618</v>
      </c>
      <c r="U346" s="7">
        <f t="shared" ref="U346:AB347" si="524">T346</f>
        <v>20618</v>
      </c>
      <c r="V346" s="7">
        <f t="shared" si="524"/>
        <v>20618</v>
      </c>
      <c r="W346" s="7">
        <f t="shared" si="524"/>
        <v>20618</v>
      </c>
      <c r="X346" s="7">
        <f t="shared" si="524"/>
        <v>20618</v>
      </c>
      <c r="Y346" s="7">
        <f t="shared" si="524"/>
        <v>20618</v>
      </c>
      <c r="Z346" s="7">
        <f t="shared" si="524"/>
        <v>20618</v>
      </c>
      <c r="AA346" s="7">
        <f t="shared" si="524"/>
        <v>20618</v>
      </c>
      <c r="AB346" s="7">
        <f t="shared" si="524"/>
        <v>20618</v>
      </c>
    </row>
    <row r="347" spans="2:28">
      <c r="B347" s="2" t="s">
        <v>20</v>
      </c>
      <c r="C347" s="2"/>
      <c r="D347" s="2"/>
      <c r="E347" s="2"/>
      <c r="F347" s="2"/>
      <c r="G347" s="2"/>
      <c r="H347" s="2"/>
      <c r="I347" s="2"/>
      <c r="J347" s="2"/>
      <c r="K347" s="2">
        <f t="shared" ref="K347:T347" si="525">K348-K345-K346</f>
        <v>33380</v>
      </c>
      <c r="L347" s="2">
        <f t="shared" si="525"/>
        <v>49455</v>
      </c>
      <c r="M347" s="2">
        <f t="shared" si="525"/>
        <v>60660</v>
      </c>
      <c r="N347" s="2">
        <f t="shared" si="525"/>
        <v>37765</v>
      </c>
      <c r="O347" s="2">
        <f t="shared" si="525"/>
        <v>21498</v>
      </c>
      <c r="P347" s="2">
        <f t="shared" si="525"/>
        <v>36606</v>
      </c>
      <c r="Q347" s="2">
        <f t="shared" si="525"/>
        <v>38163</v>
      </c>
      <c r="R347" s="2">
        <f t="shared" si="525"/>
        <v>46140</v>
      </c>
      <c r="S347" s="2">
        <f t="shared" si="525"/>
        <v>41714</v>
      </c>
      <c r="T347" s="2">
        <f t="shared" si="525"/>
        <v>84391</v>
      </c>
      <c r="U347" s="9">
        <f t="shared" si="524"/>
        <v>84391</v>
      </c>
      <c r="V347" s="9">
        <f t="shared" si="524"/>
        <v>84391</v>
      </c>
      <c r="W347" s="9">
        <f t="shared" si="524"/>
        <v>84391</v>
      </c>
      <c r="X347" s="9">
        <f t="shared" si="524"/>
        <v>84391</v>
      </c>
      <c r="Y347" s="9">
        <f t="shared" si="524"/>
        <v>84391</v>
      </c>
      <c r="Z347" s="9">
        <f t="shared" si="524"/>
        <v>84391</v>
      </c>
      <c r="AA347" s="9">
        <f t="shared" si="524"/>
        <v>84391</v>
      </c>
      <c r="AB347" s="9">
        <f t="shared" si="524"/>
        <v>84391</v>
      </c>
    </row>
    <row r="348" spans="2:28">
      <c r="B348" s="3" t="s">
        <v>116</v>
      </c>
      <c r="C348" s="3"/>
      <c r="D348" s="3"/>
      <c r="E348" s="3"/>
      <c r="F348" s="3"/>
      <c r="G348" s="3"/>
      <c r="H348" s="3"/>
      <c r="I348" s="3"/>
      <c r="J348" s="3"/>
      <c r="K348" s="161">
        <v>303398</v>
      </c>
      <c r="L348" s="161">
        <v>376371</v>
      </c>
      <c r="M348" s="161">
        <v>394261</v>
      </c>
      <c r="N348" s="161">
        <v>439323</v>
      </c>
      <c r="O348" s="161">
        <v>515270</v>
      </c>
      <c r="P348" s="161">
        <v>586387</v>
      </c>
      <c r="Q348" s="161">
        <v>585028</v>
      </c>
      <c r="R348" s="161">
        <v>576051</v>
      </c>
      <c r="S348" s="161">
        <v>623405</v>
      </c>
      <c r="T348" s="161">
        <v>658743</v>
      </c>
      <c r="U348" s="7">
        <f t="shared" ref="U348:AA348" si="526">SUM(U345:U347)</f>
        <v>658743</v>
      </c>
      <c r="V348" s="7">
        <f t="shared" si="526"/>
        <v>658743</v>
      </c>
      <c r="W348" s="7">
        <f t="shared" si="526"/>
        <v>658743</v>
      </c>
      <c r="X348" s="7">
        <f t="shared" si="526"/>
        <v>658743</v>
      </c>
      <c r="Y348" s="7">
        <f t="shared" si="526"/>
        <v>658743</v>
      </c>
      <c r="Z348" s="7">
        <f t="shared" si="526"/>
        <v>658743</v>
      </c>
      <c r="AA348" s="7">
        <f t="shared" si="526"/>
        <v>658743</v>
      </c>
      <c r="AB348" s="7">
        <f t="shared" ref="AB348" si="527">SUM(AB345:AB347)</f>
        <v>658743</v>
      </c>
    </row>
    <row r="349" spans="2:28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2:28">
      <c r="B350" s="3" t="s">
        <v>117</v>
      </c>
      <c r="C350" s="3"/>
      <c r="D350" s="3"/>
      <c r="E350" s="3"/>
      <c r="F350" s="3"/>
      <c r="G350" s="3"/>
      <c r="H350" s="3"/>
      <c r="I350" s="3"/>
      <c r="J350" s="3"/>
      <c r="K350" s="161">
        <v>364371</v>
      </c>
      <c r="L350" s="161">
        <v>350331</v>
      </c>
      <c r="M350" s="161">
        <v>353504</v>
      </c>
      <c r="N350" s="161">
        <v>407737</v>
      </c>
      <c r="O350" s="161">
        <v>813151</v>
      </c>
      <c r="P350" s="161">
        <v>1434258</v>
      </c>
      <c r="Q350" s="161">
        <f>1654135-271503</f>
        <v>1382632</v>
      </c>
      <c r="R350" s="266">
        <f>1485015-R346</f>
        <v>1460148</v>
      </c>
      <c r="S350" s="266">
        <f>1590914-38637</f>
        <v>1552277</v>
      </c>
      <c r="T350" s="266">
        <v>1794896</v>
      </c>
      <c r="U350" s="7">
        <f t="shared" ref="U350:AA350" ca="1" si="528">U323+U333-U346</f>
        <v>1731514.7650244918</v>
      </c>
      <c r="V350" s="7">
        <f t="shared" ca="1" si="528"/>
        <v>1761612.419913491</v>
      </c>
      <c r="W350" s="7">
        <f t="shared" ca="1" si="528"/>
        <v>1753283.6452147611</v>
      </c>
      <c r="X350" s="7">
        <f t="shared" ca="1" si="528"/>
        <v>1714813.4617654032</v>
      </c>
      <c r="Y350" s="7">
        <f t="shared" ca="1" si="528"/>
        <v>1623641.4020452877</v>
      </c>
      <c r="Z350" s="7">
        <f t="shared" ca="1" si="528"/>
        <v>1494851.4983064022</v>
      </c>
      <c r="AA350" s="7">
        <f t="shared" ca="1" si="528"/>
        <v>1320799.9822329853</v>
      </c>
      <c r="AB350" s="7">
        <f t="shared" ref="AB350" ca="1" si="529">AB323+AB333-AB346</f>
        <v>1113763.3650582659</v>
      </c>
    </row>
    <row r="351" spans="2:28">
      <c r="B351" s="3" t="s">
        <v>118</v>
      </c>
      <c r="C351" s="3"/>
      <c r="D351" s="3"/>
      <c r="E351" s="3"/>
      <c r="F351" s="3"/>
      <c r="G351" s="3"/>
      <c r="H351" s="3"/>
      <c r="I351" s="3"/>
      <c r="J351" s="3"/>
      <c r="K351" s="161">
        <v>3</v>
      </c>
      <c r="L351" s="161">
        <v>4</v>
      </c>
      <c r="M351" s="161">
        <v>5</v>
      </c>
      <c r="N351" s="161">
        <v>6</v>
      </c>
      <c r="O351" s="161">
        <v>13</v>
      </c>
      <c r="P351" s="161">
        <v>180</v>
      </c>
      <c r="Q351" s="161">
        <v>3436</v>
      </c>
      <c r="R351" s="161">
        <v>5162</v>
      </c>
      <c r="S351" s="161">
        <v>7370</v>
      </c>
      <c r="T351" s="161">
        <v>8446</v>
      </c>
      <c r="U351" s="7">
        <f t="shared" ref="U351:AB351" si="530">T351</f>
        <v>8446</v>
      </c>
      <c r="V351" s="7">
        <f t="shared" si="530"/>
        <v>8446</v>
      </c>
      <c r="W351" s="7">
        <f t="shared" si="530"/>
        <v>8446</v>
      </c>
      <c r="X351" s="7">
        <f t="shared" si="530"/>
        <v>8446</v>
      </c>
      <c r="Y351" s="7">
        <f t="shared" si="530"/>
        <v>8446</v>
      </c>
      <c r="Z351" s="7">
        <f t="shared" si="530"/>
        <v>8446</v>
      </c>
      <c r="AA351" s="7">
        <f t="shared" si="530"/>
        <v>8446</v>
      </c>
      <c r="AB351" s="7">
        <f t="shared" si="530"/>
        <v>8446</v>
      </c>
    </row>
    <row r="352" spans="2:28">
      <c r="B352" s="2" t="s">
        <v>20</v>
      </c>
      <c r="C352" s="2"/>
      <c r="D352" s="2"/>
      <c r="E352" s="2"/>
      <c r="F352" s="2"/>
      <c r="G352" s="2"/>
      <c r="H352" s="2"/>
      <c r="I352" s="2"/>
      <c r="J352" s="2"/>
      <c r="K352" s="2">
        <f t="shared" ref="K352:T352" si="531">K353-K350-K351</f>
        <v>36766</v>
      </c>
      <c r="L352" s="2">
        <f t="shared" si="531"/>
        <v>41193</v>
      </c>
      <c r="M352" s="2">
        <f t="shared" si="531"/>
        <v>37166</v>
      </c>
      <c r="N352" s="2">
        <f t="shared" si="531"/>
        <v>34183</v>
      </c>
      <c r="O352" s="2">
        <f t="shared" si="531"/>
        <v>47431</v>
      </c>
      <c r="P352" s="2">
        <f t="shared" si="531"/>
        <v>58626</v>
      </c>
      <c r="Q352" s="2">
        <f t="shared" si="531"/>
        <v>336510</v>
      </c>
      <c r="R352" s="2">
        <f t="shared" si="531"/>
        <v>177205</v>
      </c>
      <c r="S352" s="2">
        <f t="shared" si="531"/>
        <v>107637</v>
      </c>
      <c r="T352" s="2">
        <f t="shared" si="531"/>
        <v>135708</v>
      </c>
      <c r="U352" s="9">
        <f t="shared" ref="U352:AB352" si="532">T352+U301</f>
        <v>135708</v>
      </c>
      <c r="V352" s="9">
        <f t="shared" si="532"/>
        <v>135708</v>
      </c>
      <c r="W352" s="9">
        <f t="shared" si="532"/>
        <v>135708</v>
      </c>
      <c r="X352" s="9">
        <f t="shared" si="532"/>
        <v>135708</v>
      </c>
      <c r="Y352" s="9">
        <f t="shared" si="532"/>
        <v>135708</v>
      </c>
      <c r="Z352" s="9">
        <f t="shared" si="532"/>
        <v>135708</v>
      </c>
      <c r="AA352" s="9">
        <f t="shared" si="532"/>
        <v>135708</v>
      </c>
      <c r="AB352" s="9">
        <f t="shared" si="532"/>
        <v>135708</v>
      </c>
    </row>
    <row r="353" spans="2:28">
      <c r="B353" s="3" t="s">
        <v>119</v>
      </c>
      <c r="C353" s="3"/>
      <c r="D353" s="3"/>
      <c r="E353" s="3"/>
      <c r="F353" s="3"/>
      <c r="G353" s="3"/>
      <c r="H353" s="3"/>
      <c r="I353" s="3"/>
      <c r="J353" s="3"/>
      <c r="K353" s="161">
        <v>401140</v>
      </c>
      <c r="L353" s="161">
        <v>391528</v>
      </c>
      <c r="M353" s="161">
        <v>390675</v>
      </c>
      <c r="N353" s="161">
        <v>441926</v>
      </c>
      <c r="O353" s="161">
        <v>860595</v>
      </c>
      <c r="P353" s="161">
        <v>1493064</v>
      </c>
      <c r="Q353" s="161">
        <v>1722578</v>
      </c>
      <c r="R353" s="161">
        <v>1642515</v>
      </c>
      <c r="S353" s="161">
        <v>1667284</v>
      </c>
      <c r="T353" s="161">
        <v>1939050</v>
      </c>
      <c r="U353" s="7">
        <f t="shared" ref="U353:AA353" ca="1" si="533">SUM(U350:U352)</f>
        <v>1875668.7650244918</v>
      </c>
      <c r="V353" s="7">
        <f t="shared" ca="1" si="533"/>
        <v>1905766.419913491</v>
      </c>
      <c r="W353" s="7">
        <f t="shared" ca="1" si="533"/>
        <v>1897437.6452147611</v>
      </c>
      <c r="X353" s="7">
        <f t="shared" ca="1" si="533"/>
        <v>1858967.4617654032</v>
      </c>
      <c r="Y353" s="7">
        <f t="shared" ca="1" si="533"/>
        <v>1767795.4020452877</v>
      </c>
      <c r="Z353" s="7">
        <f t="shared" ca="1" si="533"/>
        <v>1639005.4983064022</v>
      </c>
      <c r="AA353" s="7">
        <f t="shared" ca="1" si="533"/>
        <v>1464953.9822329853</v>
      </c>
      <c r="AB353" s="7">
        <f t="shared" ref="AB353" ca="1" si="534">SUM(AB350:AB352)</f>
        <v>1257917.3650582659</v>
      </c>
    </row>
    <row r="354" spans="2:28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2:28">
      <c r="B355" s="3" t="s">
        <v>120</v>
      </c>
      <c r="C355" s="3"/>
      <c r="D355" s="3"/>
      <c r="E355" s="3"/>
      <c r="F355" s="3"/>
      <c r="G355" s="3"/>
      <c r="H355" s="3"/>
      <c r="I355" s="3"/>
      <c r="J355" s="3"/>
      <c r="K355" s="161">
        <v>660852</v>
      </c>
      <c r="L355" s="161">
        <v>721375</v>
      </c>
      <c r="M355" s="161">
        <v>773077</v>
      </c>
      <c r="N355" s="161">
        <v>814007</v>
      </c>
      <c r="O355" s="161">
        <v>881085</v>
      </c>
      <c r="P355" s="161">
        <v>956345</v>
      </c>
      <c r="Q355" s="161">
        <v>955347</v>
      </c>
      <c r="R355" s="99">
        <v>1261872</v>
      </c>
      <c r="S355" s="99">
        <v>1238351</v>
      </c>
      <c r="T355" s="99">
        <v>1366422</v>
      </c>
      <c r="U355" s="7">
        <f t="shared" ref="U355:AB355" ca="1" si="535">T355+U302-U309</f>
        <v>1427673.9044480678</v>
      </c>
      <c r="V355" s="7">
        <f t="shared" ca="1" si="535"/>
        <v>1490612.2116497268</v>
      </c>
      <c r="W355" s="7">
        <f t="shared" ca="1" si="535"/>
        <v>1579140.3979656608</v>
      </c>
      <c r="X355" s="7">
        <f t="shared" ca="1" si="535"/>
        <v>1690569.0058761118</v>
      </c>
      <c r="Y355" s="7">
        <f t="shared" ca="1" si="535"/>
        <v>1829479.1667202236</v>
      </c>
      <c r="Z355" s="7">
        <f t="shared" ca="1" si="535"/>
        <v>1995851.8321522938</v>
      </c>
      <c r="AA355" s="7">
        <f t="shared" ca="1" si="535"/>
        <v>2192023.8696538033</v>
      </c>
      <c r="AB355" s="7">
        <f t="shared" ca="1" si="535"/>
        <v>2415260.7578735705</v>
      </c>
    </row>
    <row r="356" spans="2:28">
      <c r="B356" s="3" t="s">
        <v>121</v>
      </c>
      <c r="C356" s="3"/>
      <c r="D356" s="3"/>
      <c r="E356" s="3"/>
      <c r="F356" s="3"/>
      <c r="G356" s="3"/>
      <c r="H356" s="3"/>
      <c r="I356" s="3"/>
      <c r="J356" s="3"/>
      <c r="K356" s="3">
        <f t="shared" ref="K356:V356" si="536">K348+K353+K355</f>
        <v>1365390</v>
      </c>
      <c r="L356" s="3">
        <f t="shared" si="536"/>
        <v>1489274</v>
      </c>
      <c r="M356" s="7">
        <f t="shared" si="536"/>
        <v>1558013</v>
      </c>
      <c r="N356" s="7">
        <f t="shared" si="536"/>
        <v>1695256</v>
      </c>
      <c r="O356" s="7">
        <f t="shared" si="536"/>
        <v>2256950</v>
      </c>
      <c r="P356" s="7">
        <f t="shared" si="536"/>
        <v>3035796</v>
      </c>
      <c r="Q356" s="7">
        <f t="shared" si="536"/>
        <v>3262953</v>
      </c>
      <c r="R356" s="7">
        <f t="shared" si="536"/>
        <v>3480438</v>
      </c>
      <c r="S356" s="7">
        <f t="shared" si="536"/>
        <v>3529040</v>
      </c>
      <c r="T356" s="7">
        <f t="shared" si="536"/>
        <v>3964215</v>
      </c>
      <c r="U356" s="7">
        <f t="shared" ca="1" si="536"/>
        <v>3962085.6694725594</v>
      </c>
      <c r="V356" s="7">
        <f t="shared" ca="1" si="536"/>
        <v>4055121.6315632183</v>
      </c>
      <c r="W356" s="7">
        <f t="shared" ref="W356:AA356" ca="1" si="537">W348+W353+W355</f>
        <v>4135321.0431804219</v>
      </c>
      <c r="X356" s="7">
        <f t="shared" ca="1" si="537"/>
        <v>4208279.4676415147</v>
      </c>
      <c r="Y356" s="7">
        <f t="shared" ca="1" si="537"/>
        <v>4256017.5687655117</v>
      </c>
      <c r="Z356" s="7">
        <f t="shared" ca="1" si="537"/>
        <v>4293600.330458696</v>
      </c>
      <c r="AA356" s="7">
        <f t="shared" ca="1" si="537"/>
        <v>4315720.8518867884</v>
      </c>
      <c r="AB356" s="7">
        <f t="shared" ref="AB356" ca="1" si="538">AB348+AB353+AB355</f>
        <v>4331921.1229318362</v>
      </c>
    </row>
    <row r="357" spans="2:28">
      <c r="B357" s="3" t="s">
        <v>122</v>
      </c>
      <c r="C357" s="3"/>
      <c r="D357" s="3"/>
      <c r="E357" s="3"/>
      <c r="F357" s="3"/>
      <c r="G357" s="3"/>
      <c r="H357" s="3"/>
      <c r="I357" s="3"/>
      <c r="J357" s="3"/>
      <c r="K357" s="3">
        <f>K356-K343</f>
        <v>1</v>
      </c>
      <c r="L357" s="3">
        <f t="shared" ref="L357:T357" si="539">L356-L343</f>
        <v>0</v>
      </c>
      <c r="M357" s="7">
        <f t="shared" si="539"/>
        <v>-1</v>
      </c>
      <c r="N357" s="7">
        <f t="shared" si="539"/>
        <v>1</v>
      </c>
      <c r="O357" s="7">
        <f>O356-O343</f>
        <v>0</v>
      </c>
      <c r="P357" s="7">
        <f t="shared" si="539"/>
        <v>0</v>
      </c>
      <c r="Q357" s="7">
        <f>Q356-Q343</f>
        <v>-3</v>
      </c>
      <c r="R357" s="7">
        <f t="shared" si="539"/>
        <v>-1</v>
      </c>
      <c r="S357" s="7">
        <f t="shared" si="539"/>
        <v>0</v>
      </c>
      <c r="T357" s="7">
        <f t="shared" si="539"/>
        <v>0</v>
      </c>
      <c r="U357" s="7">
        <f t="shared" ref="U357:AA357" ca="1" si="540">U356-U343</f>
        <v>-105201</v>
      </c>
      <c r="V357" s="7">
        <f t="shared" ca="1" si="540"/>
        <v>-105200.99999999907</v>
      </c>
      <c r="W357" s="7">
        <f t="shared" ca="1" si="540"/>
        <v>-105200.99999999907</v>
      </c>
      <c r="X357" s="7">
        <f t="shared" ca="1" si="540"/>
        <v>-105201</v>
      </c>
      <c r="Y357" s="7">
        <f t="shared" ca="1" si="540"/>
        <v>-105200.99999999907</v>
      </c>
      <c r="Z357" s="7">
        <f t="shared" ca="1" si="540"/>
        <v>-105200.99999999907</v>
      </c>
      <c r="AA357" s="7">
        <f t="shared" ca="1" si="540"/>
        <v>-105201</v>
      </c>
      <c r="AB357" s="7">
        <f t="shared" ref="AB357" ca="1" si="541">AB356-AB343</f>
        <v>-105200.99999999907</v>
      </c>
    </row>
    <row r="358" spans="2:28">
      <c r="B358" s="3" t="s">
        <v>181</v>
      </c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7"/>
      <c r="N358" s="7"/>
      <c r="O358" s="7">
        <f t="shared" ref="O358:T358" si="542">O350+O346-O333</f>
        <v>801000</v>
      </c>
      <c r="P358" s="7">
        <f t="shared" si="542"/>
        <v>954238</v>
      </c>
      <c r="Q358" s="7">
        <f t="shared" si="542"/>
        <v>1267873</v>
      </c>
      <c r="R358" s="7">
        <f t="shared" si="542"/>
        <v>1374100</v>
      </c>
      <c r="S358" s="7">
        <f t="shared" si="542"/>
        <v>1443171</v>
      </c>
      <c r="T358" s="7">
        <f t="shared" si="542"/>
        <v>1743266</v>
      </c>
      <c r="U358" s="7"/>
      <c r="V358" s="7"/>
      <c r="W358" s="7"/>
      <c r="X358" s="7"/>
      <c r="Y358" s="7"/>
      <c r="Z358" s="7"/>
      <c r="AA358" s="7"/>
      <c r="AB358" s="7"/>
    </row>
    <row r="359" spans="2:28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7"/>
      <c r="M359" s="7"/>
      <c r="N359" s="8"/>
      <c r="O359" s="8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2:28">
      <c r="B360" s="3" t="s">
        <v>123</v>
      </c>
      <c r="C360" s="3"/>
      <c r="D360" s="3"/>
      <c r="E360" s="3"/>
      <c r="F360" s="3"/>
      <c r="G360" s="3"/>
      <c r="H360" s="3"/>
      <c r="I360" s="3"/>
      <c r="J360" s="3"/>
      <c r="K360" s="3"/>
      <c r="L360" s="7">
        <f t="shared" ref="L360:AB360" si="543">(L334+L335+L345+L347)-(K334+K335+K345+K347)</f>
        <v>152302</v>
      </c>
      <c r="M360" s="7">
        <f t="shared" si="543"/>
        <v>56421</v>
      </c>
      <c r="N360" s="7">
        <f t="shared" si="543"/>
        <v>50680</v>
      </c>
      <c r="O360" s="7">
        <f t="shared" si="543"/>
        <v>236682</v>
      </c>
      <c r="P360" s="7">
        <f t="shared" si="543"/>
        <v>-70654</v>
      </c>
      <c r="Q360" s="7">
        <f t="shared" si="543"/>
        <v>174799</v>
      </c>
      <c r="R360" s="7">
        <f t="shared" si="543"/>
        <v>87104</v>
      </c>
      <c r="S360" s="7">
        <f t="shared" si="543"/>
        <v>-22002</v>
      </c>
      <c r="T360" s="7">
        <f t="shared" si="543"/>
        <v>190308</v>
      </c>
      <c r="U360" s="7">
        <f t="shared" si="543"/>
        <v>0</v>
      </c>
      <c r="V360" s="7">
        <f t="shared" si="543"/>
        <v>0</v>
      </c>
      <c r="W360" s="7">
        <f t="shared" si="543"/>
        <v>0</v>
      </c>
      <c r="X360" s="7">
        <f t="shared" si="543"/>
        <v>0</v>
      </c>
      <c r="Y360" s="7">
        <f t="shared" si="543"/>
        <v>0</v>
      </c>
      <c r="Z360" s="7">
        <f t="shared" si="543"/>
        <v>0</v>
      </c>
      <c r="AA360" s="7">
        <f t="shared" si="543"/>
        <v>0</v>
      </c>
      <c r="AB360" s="7">
        <f t="shared" si="543"/>
        <v>0</v>
      </c>
    </row>
    <row r="361" spans="2:28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7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2:28">
      <c r="B362" s="65" t="s">
        <v>1044</v>
      </c>
      <c r="C362" s="65">
        <f t="shared" ref="C362:V362" si="544">C131</f>
        <v>2001</v>
      </c>
      <c r="D362" s="65">
        <f t="shared" si="544"/>
        <v>2002</v>
      </c>
      <c r="E362" s="65">
        <f t="shared" si="544"/>
        <v>2003</v>
      </c>
      <c r="F362" s="65">
        <f t="shared" si="544"/>
        <v>2004</v>
      </c>
      <c r="G362" s="65">
        <f t="shared" si="544"/>
        <v>2005</v>
      </c>
      <c r="H362" s="65">
        <f t="shared" si="544"/>
        <v>2006</v>
      </c>
      <c r="I362" s="65">
        <f t="shared" si="544"/>
        <v>2007</v>
      </c>
      <c r="J362" s="65">
        <f t="shared" si="544"/>
        <v>2008</v>
      </c>
      <c r="K362" s="65">
        <f t="shared" si="544"/>
        <v>2009</v>
      </c>
      <c r="L362" s="65">
        <f t="shared" si="544"/>
        <v>2010</v>
      </c>
      <c r="M362" s="65">
        <f t="shared" si="544"/>
        <v>2011</v>
      </c>
      <c r="N362" s="65">
        <f t="shared" si="544"/>
        <v>2012</v>
      </c>
      <c r="O362" s="65">
        <f t="shared" si="544"/>
        <v>2013</v>
      </c>
      <c r="P362" s="65">
        <f t="shared" si="544"/>
        <v>2014</v>
      </c>
      <c r="Q362" s="65">
        <f t="shared" si="544"/>
        <v>2015</v>
      </c>
      <c r="R362" s="65">
        <f t="shared" si="544"/>
        <v>2016</v>
      </c>
      <c r="S362" s="65">
        <f t="shared" si="544"/>
        <v>2017</v>
      </c>
      <c r="T362" s="65">
        <f t="shared" si="544"/>
        <v>2018</v>
      </c>
      <c r="U362" s="65">
        <f t="shared" si="544"/>
        <v>2019</v>
      </c>
      <c r="V362" s="65">
        <f t="shared" si="544"/>
        <v>2020</v>
      </c>
      <c r="W362" s="65">
        <f t="shared" ref="W362:AA362" si="545">W131</f>
        <v>2021</v>
      </c>
      <c r="X362" s="65">
        <f t="shared" si="545"/>
        <v>2022</v>
      </c>
      <c r="Y362" s="65">
        <f t="shared" si="545"/>
        <v>2023</v>
      </c>
      <c r="Z362" s="65">
        <f t="shared" si="545"/>
        <v>2024</v>
      </c>
      <c r="AA362" s="65">
        <f t="shared" si="545"/>
        <v>2025</v>
      </c>
      <c r="AB362" s="65">
        <f t="shared" ref="AB362" si="546">AB131</f>
        <v>2026</v>
      </c>
    </row>
    <row r="363" spans="2:28">
      <c r="B363" s="66"/>
      <c r="C363" s="66"/>
      <c r="D363" s="66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</row>
    <row r="364" spans="2:28">
      <c r="B364" s="3" t="s">
        <v>124</v>
      </c>
      <c r="C364" s="3"/>
      <c r="D364" s="3"/>
      <c r="E364" s="3"/>
      <c r="F364" s="3"/>
      <c r="G364" s="3"/>
      <c r="H364" s="3"/>
      <c r="I364" s="3"/>
      <c r="J364" s="3"/>
      <c r="K364" s="5">
        <v>0.2</v>
      </c>
      <c r="L364" s="5">
        <v>0.2</v>
      </c>
      <c r="M364" s="5">
        <v>0.2</v>
      </c>
      <c r="N364" s="5">
        <v>0.2</v>
      </c>
      <c r="O364" s="5">
        <v>0.2</v>
      </c>
      <c r="P364" s="5">
        <v>0.25</v>
      </c>
      <c r="Q364" s="5">
        <v>0.25</v>
      </c>
      <c r="R364" s="5">
        <v>0.25</v>
      </c>
      <c r="S364" s="5">
        <v>0.25</v>
      </c>
      <c r="T364" s="5">
        <v>0.25</v>
      </c>
      <c r="U364" s="5">
        <v>0.25</v>
      </c>
      <c r="V364" s="5">
        <v>0.25</v>
      </c>
      <c r="W364" s="5">
        <v>0.25</v>
      </c>
      <c r="X364" s="5">
        <v>0.25</v>
      </c>
      <c r="Y364" s="5">
        <v>0.25</v>
      </c>
      <c r="Z364" s="5">
        <v>0.25</v>
      </c>
      <c r="AA364" s="5">
        <v>0.25</v>
      </c>
      <c r="AB364" s="5">
        <v>0.25</v>
      </c>
    </row>
    <row r="365" spans="2:28">
      <c r="B365" s="3" t="s">
        <v>4</v>
      </c>
      <c r="C365" s="3"/>
      <c r="D365" s="3"/>
      <c r="E365" s="3"/>
      <c r="F365" s="3"/>
      <c r="G365" s="3"/>
      <c r="H365" s="3"/>
      <c r="I365" s="3"/>
      <c r="J365" s="3"/>
      <c r="K365" s="158">
        <f t="shared" ref="K365:V365" si="547">K236</f>
        <v>401358</v>
      </c>
      <c r="L365" s="158">
        <f t="shared" si="547"/>
        <v>445498</v>
      </c>
      <c r="M365" s="158">
        <f t="shared" ca="1" si="547"/>
        <v>513356</v>
      </c>
      <c r="N365" s="158">
        <f t="shared" si="547"/>
        <v>539035</v>
      </c>
      <c r="O365" s="158">
        <f t="shared" si="547"/>
        <v>468906</v>
      </c>
      <c r="P365" s="158">
        <f t="shared" si="547"/>
        <v>469855</v>
      </c>
      <c r="Q365" s="158">
        <f t="shared" si="547"/>
        <v>527654</v>
      </c>
      <c r="R365" s="158">
        <f t="shared" si="547"/>
        <v>533011</v>
      </c>
      <c r="S365" s="158">
        <f t="shared" si="547"/>
        <v>513223</v>
      </c>
      <c r="T365" s="158">
        <f t="shared" si="547"/>
        <v>476886</v>
      </c>
      <c r="U365" s="158">
        <f t="shared" ca="1" si="547"/>
        <v>499832.90869983879</v>
      </c>
      <c r="V365" s="158">
        <f t="shared" ca="1" si="547"/>
        <v>503012.97205325711</v>
      </c>
      <c r="W365" s="158">
        <f t="shared" ref="W365:AA365" ca="1" si="548">W236</f>
        <v>508279.13617767149</v>
      </c>
      <c r="X365" s="158">
        <f t="shared" ca="1" si="548"/>
        <v>515995.86352463014</v>
      </c>
      <c r="Y365" s="158">
        <f t="shared" ca="1" si="548"/>
        <v>525992.16779946815</v>
      </c>
      <c r="Z365" s="158">
        <f t="shared" ca="1" si="548"/>
        <v>538120.36993628892</v>
      </c>
      <c r="AA365" s="158">
        <f t="shared" ca="1" si="548"/>
        <v>552253.05308169674</v>
      </c>
      <c r="AB365" s="158">
        <f t="shared" ref="AB365" ca="1" si="549">AB236</f>
        <v>568280.33504093112</v>
      </c>
    </row>
    <row r="366" spans="2:28">
      <c r="B366" s="3" t="s">
        <v>137</v>
      </c>
      <c r="C366" s="3"/>
      <c r="D366" s="3"/>
      <c r="E366" s="3"/>
      <c r="F366" s="3"/>
      <c r="G366" s="3"/>
      <c r="H366" s="3"/>
      <c r="I366" s="3"/>
      <c r="J366" s="3"/>
      <c r="K366" s="158">
        <f t="shared" ref="K366:V366" si="550">-K257</f>
        <v>-257248.80217579479</v>
      </c>
      <c r="L366" s="158">
        <f t="shared" si="550"/>
        <v>-287162.19867944525</v>
      </c>
      <c r="M366" s="158">
        <f t="shared" si="550"/>
        <v>-354507.96242288954</v>
      </c>
      <c r="N366" s="158">
        <f t="shared" si="550"/>
        <v>-377284.19593334111</v>
      </c>
      <c r="O366" s="158">
        <f t="shared" si="550"/>
        <v>-306226.4900375334</v>
      </c>
      <c r="P366" s="158">
        <f t="shared" si="550"/>
        <v>-345232.70603027975</v>
      </c>
      <c r="Q366" s="158">
        <f t="shared" si="550"/>
        <v>-268460.07995419623</v>
      </c>
      <c r="R366" s="158">
        <f t="shared" si="550"/>
        <v>-250524.43785774216</v>
      </c>
      <c r="S366" s="158">
        <f t="shared" si="550"/>
        <v>-277978.37758711522</v>
      </c>
      <c r="T366" s="158">
        <f t="shared" ca="1" si="550"/>
        <v>-323821.05234111042</v>
      </c>
      <c r="U366" s="158">
        <f t="shared" ca="1" si="550"/>
        <v>-305491.68384661339</v>
      </c>
      <c r="V366" s="158">
        <f t="shared" ca="1" si="550"/>
        <v>-305323.72256533813</v>
      </c>
      <c r="W366" s="158">
        <f t="shared" ref="W366:AA366" ca="1" si="551">-W257</f>
        <v>-307508.47526837059</v>
      </c>
      <c r="X366" s="158">
        <f t="shared" ca="1" si="551"/>
        <v>-310815.62450339441</v>
      </c>
      <c r="Y366" s="158">
        <f t="shared" ca="1" si="551"/>
        <v>-297756.49333574192</v>
      </c>
      <c r="Z366" s="158">
        <f t="shared" ca="1" si="551"/>
        <v>-300572.22035223478</v>
      </c>
      <c r="AA366" s="158">
        <f t="shared" ca="1" si="551"/>
        <v>-298880.00504827616</v>
      </c>
      <c r="AB366" s="158">
        <f t="shared" ref="AB366" ca="1" si="552">-AB257</f>
        <v>-307519.68267926318</v>
      </c>
    </row>
    <row r="367" spans="2:28">
      <c r="B367" s="2" t="s">
        <v>1622</v>
      </c>
      <c r="C367" s="2"/>
      <c r="D367" s="2"/>
      <c r="E367" s="2"/>
      <c r="F367" s="2"/>
      <c r="G367" s="2"/>
      <c r="H367" s="2"/>
      <c r="I367" s="2"/>
      <c r="J367" s="2"/>
      <c r="K367" s="400">
        <f t="shared" ref="K367:V367" si="553">K306</f>
        <v>0</v>
      </c>
      <c r="L367" s="400">
        <f t="shared" si="553"/>
        <v>0</v>
      </c>
      <c r="M367" s="400">
        <f t="shared" si="553"/>
        <v>137861.5</v>
      </c>
      <c r="N367" s="400">
        <f t="shared" si="553"/>
        <v>140671.5</v>
      </c>
      <c r="O367" s="400">
        <f t="shared" si="553"/>
        <v>99450.979545454495</v>
      </c>
      <c r="P367" s="400">
        <f t="shared" si="553"/>
        <v>-125495</v>
      </c>
      <c r="Q367" s="400">
        <f t="shared" si="553"/>
        <v>-150000</v>
      </c>
      <c r="R367" s="400">
        <f t="shared" si="553"/>
        <v>-100000</v>
      </c>
      <c r="S367" s="400">
        <f t="shared" si="553"/>
        <v>-85000</v>
      </c>
      <c r="T367" s="400">
        <f t="shared" si="553"/>
        <v>0</v>
      </c>
      <c r="U367" s="400">
        <f t="shared" si="553"/>
        <v>0</v>
      </c>
      <c r="V367" s="400">
        <f t="shared" si="553"/>
        <v>0</v>
      </c>
      <c r="W367" s="400">
        <f t="shared" ref="W367:AA367" si="554">W306</f>
        <v>0</v>
      </c>
      <c r="X367" s="400">
        <f t="shared" si="554"/>
        <v>0</v>
      </c>
      <c r="Y367" s="400">
        <f t="shared" si="554"/>
        <v>0</v>
      </c>
      <c r="Z367" s="400">
        <f t="shared" si="554"/>
        <v>0</v>
      </c>
      <c r="AA367" s="400">
        <f t="shared" si="554"/>
        <v>0</v>
      </c>
      <c r="AB367" s="400">
        <f t="shared" ref="AB367" si="555">AB306</f>
        <v>0</v>
      </c>
    </row>
    <row r="368" spans="2:28">
      <c r="B368" s="3" t="s">
        <v>177</v>
      </c>
      <c r="C368" s="3"/>
      <c r="D368" s="3"/>
      <c r="E368" s="3"/>
      <c r="F368" s="3"/>
      <c r="G368" s="3"/>
      <c r="H368" s="3"/>
      <c r="I368" s="3"/>
      <c r="J368" s="3"/>
      <c r="K368" s="158">
        <f>K365+K366+K367</f>
        <v>144109.19782420521</v>
      </c>
      <c r="L368" s="158">
        <f t="shared" ref="L368:V368" si="556">L365+L366+L367</f>
        <v>158335.80132055475</v>
      </c>
      <c r="M368" s="158">
        <f t="shared" ca="1" si="556"/>
        <v>296709.53757711046</v>
      </c>
      <c r="N368" s="158">
        <f t="shared" si="556"/>
        <v>302422.30406665889</v>
      </c>
      <c r="O368" s="158">
        <f t="shared" si="556"/>
        <v>262130.4895079211</v>
      </c>
      <c r="P368" s="158">
        <f t="shared" si="556"/>
        <v>-872.70603027974721</v>
      </c>
      <c r="Q368" s="158">
        <f t="shared" si="556"/>
        <v>109193.92004580377</v>
      </c>
      <c r="R368" s="158">
        <f t="shared" si="556"/>
        <v>182486.56214225781</v>
      </c>
      <c r="S368" s="158">
        <f t="shared" si="556"/>
        <v>150244.62241288478</v>
      </c>
      <c r="T368" s="158">
        <f t="shared" ca="1" si="556"/>
        <v>153064.94765888958</v>
      </c>
      <c r="U368" s="158">
        <f t="shared" ca="1" si="556"/>
        <v>194341.2248532254</v>
      </c>
      <c r="V368" s="158">
        <f t="shared" ca="1" si="556"/>
        <v>197689.24948791898</v>
      </c>
      <c r="W368" s="158">
        <f t="shared" ref="W368:AA368" ca="1" si="557">W365+W366+W367</f>
        <v>200770.6609093009</v>
      </c>
      <c r="X368" s="158">
        <f t="shared" ca="1" si="557"/>
        <v>205180.23902123573</v>
      </c>
      <c r="Y368" s="158">
        <f t="shared" ca="1" si="557"/>
        <v>228235.67446372623</v>
      </c>
      <c r="Z368" s="158">
        <f t="shared" ca="1" si="557"/>
        <v>237548.14958405413</v>
      </c>
      <c r="AA368" s="158">
        <f t="shared" ca="1" si="557"/>
        <v>253373.04803342058</v>
      </c>
      <c r="AB368" s="158">
        <f t="shared" ref="AB368" ca="1" si="558">AB365+AB366+AB367</f>
        <v>260760.65236166795</v>
      </c>
    </row>
    <row r="369" spans="2:28">
      <c r="B369" s="3" t="s">
        <v>125</v>
      </c>
      <c r="C369" s="3"/>
      <c r="D369" s="3"/>
      <c r="E369" s="3"/>
      <c r="F369" s="3"/>
      <c r="G369" s="3"/>
      <c r="H369" s="3"/>
      <c r="I369" s="3"/>
      <c r="J369" s="3"/>
      <c r="K369" s="158">
        <f>(1-K364)*K368</f>
        <v>115287.35825936418</v>
      </c>
      <c r="L369" s="158">
        <f t="shared" ref="L369:V369" si="559">(1-L364)*L368</f>
        <v>126668.6410564438</v>
      </c>
      <c r="M369" s="158">
        <f t="shared" ca="1" si="559"/>
        <v>237367.63006168837</v>
      </c>
      <c r="N369" s="158">
        <f t="shared" si="559"/>
        <v>241937.84325332713</v>
      </c>
      <c r="O369" s="158">
        <f t="shared" si="559"/>
        <v>209704.3916063369</v>
      </c>
      <c r="P369" s="158">
        <f t="shared" si="559"/>
        <v>-654.52952270981041</v>
      </c>
      <c r="Q369" s="158">
        <f t="shared" si="559"/>
        <v>81895.440034352825</v>
      </c>
      <c r="R369" s="158">
        <f t="shared" si="559"/>
        <v>136864.92160669336</v>
      </c>
      <c r="S369" s="158">
        <f t="shared" si="559"/>
        <v>112683.46680966359</v>
      </c>
      <c r="T369" s="158">
        <f t="shared" ca="1" si="559"/>
        <v>114798.71074416718</v>
      </c>
      <c r="U369" s="158">
        <f t="shared" ca="1" si="559"/>
        <v>145755.91863991905</v>
      </c>
      <c r="V369" s="158">
        <f t="shared" ca="1" si="559"/>
        <v>148266.93711593922</v>
      </c>
      <c r="W369" s="158">
        <f t="shared" ref="W369:AA369" ca="1" si="560">(1-W364)*W368</f>
        <v>150577.99568197568</v>
      </c>
      <c r="X369" s="158">
        <f t="shared" ca="1" si="560"/>
        <v>153885.1792659268</v>
      </c>
      <c r="Y369" s="158">
        <f t="shared" ca="1" si="560"/>
        <v>171176.75584779467</v>
      </c>
      <c r="Z369" s="158">
        <f t="shared" ca="1" si="560"/>
        <v>178161.1121880406</v>
      </c>
      <c r="AA369" s="158">
        <f t="shared" ca="1" si="560"/>
        <v>190029.78602506543</v>
      </c>
      <c r="AB369" s="158">
        <f t="shared" ref="AB369" ca="1" si="561">(1-AB364)*AB368</f>
        <v>195570.48927125096</v>
      </c>
    </row>
    <row r="370" spans="2:28">
      <c r="B370" s="3"/>
      <c r="C370" s="3"/>
      <c r="D370" s="3"/>
      <c r="E370" s="3"/>
      <c r="F370" s="3"/>
      <c r="G370" s="3"/>
      <c r="H370" s="3"/>
      <c r="I370" s="3"/>
      <c r="J370" s="3"/>
      <c r="K370" s="158"/>
      <c r="L370" s="158"/>
      <c r="M370" s="158"/>
      <c r="N370" s="158"/>
      <c r="O370" s="158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2:28">
      <c r="B371" s="113"/>
      <c r="D371" s="66"/>
      <c r="E371" s="66"/>
      <c r="F371" s="67"/>
      <c r="G371" s="67"/>
      <c r="H371" s="67"/>
      <c r="I371" s="67"/>
      <c r="J371" s="67"/>
      <c r="L371" s="67"/>
      <c r="M371" s="67"/>
      <c r="N371" s="67"/>
      <c r="O371" s="114" t="s">
        <v>588</v>
      </c>
      <c r="P371" s="67"/>
      <c r="Q371" s="67"/>
      <c r="R371" s="67"/>
      <c r="S371" s="67"/>
      <c r="T371" s="67"/>
      <c r="U371" s="67"/>
      <c r="V371" s="69"/>
      <c r="W371" s="69"/>
      <c r="X371" s="69"/>
      <c r="Y371" s="69"/>
      <c r="Z371" s="69"/>
      <c r="AA371" s="69"/>
      <c r="AB371" s="69"/>
    </row>
    <row r="372" spans="2:28">
      <c r="B372" s="66" t="s">
        <v>126</v>
      </c>
      <c r="D372" s="66"/>
      <c r="E372" s="66"/>
      <c r="F372" s="66"/>
      <c r="G372" s="66"/>
      <c r="H372" s="66"/>
      <c r="I372" s="66"/>
      <c r="J372" s="66"/>
      <c r="L372" s="66"/>
      <c r="M372" s="157"/>
      <c r="N372" s="157"/>
      <c r="O372" s="68">
        <f>K389</f>
        <v>8.3539999999999989E-2</v>
      </c>
      <c r="P372" s="66"/>
      <c r="Q372" s="66"/>
      <c r="R372" s="66"/>
      <c r="S372" s="66"/>
      <c r="T372" s="66"/>
      <c r="U372" s="66"/>
      <c r="V372" s="69"/>
      <c r="W372" s="69"/>
      <c r="X372" s="69"/>
      <c r="Y372" s="69"/>
      <c r="Z372" s="69"/>
      <c r="AA372" s="69"/>
      <c r="AB372" s="69"/>
    </row>
    <row r="373" spans="2:28">
      <c r="B373" s="66" t="s">
        <v>127</v>
      </c>
      <c r="D373" s="66"/>
      <c r="E373" s="66"/>
      <c r="F373" s="66"/>
      <c r="G373" s="66"/>
      <c r="H373" s="66"/>
      <c r="I373" s="66"/>
      <c r="J373" s="66"/>
      <c r="L373" s="66"/>
      <c r="M373" s="157"/>
      <c r="N373" s="157"/>
      <c r="O373" s="26">
        <f ca="1">NPV(O372,W369:AA369)</f>
        <v>661080.71480419126</v>
      </c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</row>
    <row r="374" spans="2:28">
      <c r="B374" s="66" t="s">
        <v>128</v>
      </c>
      <c r="D374" s="66"/>
      <c r="E374" s="66"/>
      <c r="F374" s="66"/>
      <c r="G374" s="66"/>
      <c r="H374" s="66"/>
      <c r="I374" s="66"/>
      <c r="J374" s="66"/>
      <c r="L374" s="66"/>
      <c r="M374" s="157"/>
      <c r="N374" s="157"/>
      <c r="O374" s="27">
        <v>12</v>
      </c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</row>
    <row r="375" spans="2:28">
      <c r="B375" s="66" t="s">
        <v>129</v>
      </c>
      <c r="D375" s="66"/>
      <c r="E375" s="66"/>
      <c r="F375" s="66"/>
      <c r="G375" s="66"/>
      <c r="H375" s="66"/>
      <c r="I375" s="66"/>
      <c r="J375" s="66"/>
      <c r="L375" s="66"/>
      <c r="M375" s="157"/>
      <c r="N375" s="157"/>
      <c r="O375" s="68">
        <f>O372-1/O374</f>
        <v>2.0666666666666056E-4</v>
      </c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</row>
    <row r="376" spans="2:28">
      <c r="B376" s="66" t="s">
        <v>130</v>
      </c>
      <c r="D376" s="66"/>
      <c r="E376" s="66"/>
      <c r="F376" s="66"/>
      <c r="G376" s="66"/>
      <c r="H376" s="66"/>
      <c r="I376" s="66"/>
      <c r="J376" s="66"/>
      <c r="L376" s="66"/>
      <c r="M376" s="66"/>
      <c r="N376" s="66"/>
      <c r="O376" s="44">
        <f ca="1">O374*AA369</f>
        <v>2280357.4323007851</v>
      </c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</row>
    <row r="377" spans="2:28">
      <c r="B377" s="66" t="s">
        <v>131</v>
      </c>
      <c r="D377" s="69"/>
      <c r="E377" s="69"/>
      <c r="F377" s="66"/>
      <c r="G377" s="66"/>
      <c r="H377" s="66"/>
      <c r="I377" s="66"/>
      <c r="J377" s="66"/>
      <c r="L377" s="66"/>
      <c r="M377" s="66"/>
      <c r="N377" s="66"/>
      <c r="O377" s="26">
        <f ca="1">O376/(1+O372)^5</f>
        <v>1526786.0509023138</v>
      </c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</row>
    <row r="378" spans="2:28">
      <c r="B378" s="70" t="s">
        <v>227</v>
      </c>
      <c r="D378" s="66"/>
      <c r="E378" s="66"/>
      <c r="F378" s="67"/>
      <c r="G378" s="67"/>
      <c r="H378" s="67"/>
      <c r="I378" s="67"/>
      <c r="J378" s="67"/>
      <c r="L378" s="67"/>
      <c r="M378" s="67"/>
      <c r="N378" s="67"/>
      <c r="O378" s="71">
        <f ca="1">O373+O377</f>
        <v>2187866.7657065052</v>
      </c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</row>
    <row r="379" spans="2:28">
      <c r="B379" s="70"/>
      <c r="D379" s="66"/>
      <c r="E379" s="71"/>
      <c r="F379" s="67"/>
      <c r="G379" s="67"/>
      <c r="H379" s="67"/>
      <c r="I379" s="67"/>
      <c r="J379" s="67"/>
      <c r="K379" s="71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</row>
    <row r="380" spans="2:28">
      <c r="B380" s="70" t="s">
        <v>226</v>
      </c>
      <c r="D380" s="3"/>
      <c r="E380" s="3"/>
      <c r="F380" s="3"/>
      <c r="G380" s="3"/>
      <c r="H380" s="3"/>
      <c r="I380" s="3"/>
      <c r="J380" s="3"/>
      <c r="K380" s="71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2:28">
      <c r="B381" s="66" t="s">
        <v>218</v>
      </c>
      <c r="D381" s="3"/>
      <c r="E381" s="3"/>
      <c r="F381" s="3"/>
      <c r="G381" s="3"/>
      <c r="H381" s="3"/>
      <c r="I381" s="3"/>
      <c r="J381" s="3"/>
      <c r="K381" s="109">
        <v>0.05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2:28">
      <c r="B382" s="66" t="s">
        <v>219</v>
      </c>
      <c r="D382" s="3"/>
      <c r="E382" s="3"/>
      <c r="F382" s="3"/>
      <c r="G382" s="3"/>
      <c r="H382" s="3"/>
      <c r="I382" s="3"/>
      <c r="J382" s="3"/>
      <c r="K382" s="109">
        <v>0.01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2:28">
      <c r="B383" s="66" t="s">
        <v>220</v>
      </c>
      <c r="D383" s="3"/>
      <c r="E383" s="3"/>
      <c r="F383" s="3"/>
      <c r="G383" s="3"/>
      <c r="H383" s="3"/>
      <c r="I383" s="3"/>
      <c r="J383" s="3"/>
      <c r="K383" s="110">
        <f>K381+K382</f>
        <v>6.0000000000000005E-2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2:28">
      <c r="B384" s="66" t="s">
        <v>221</v>
      </c>
      <c r="D384" s="3"/>
      <c r="E384" s="3"/>
      <c r="F384" s="3"/>
      <c r="G384" s="3"/>
      <c r="H384" s="3"/>
      <c r="I384" s="3"/>
      <c r="J384" s="3"/>
      <c r="K384" s="68">
        <f>K383*(1-0.17)</f>
        <v>4.9800000000000004E-2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2:28">
      <c r="B385" s="66" t="s">
        <v>222</v>
      </c>
      <c r="D385" s="3"/>
      <c r="E385" s="3"/>
      <c r="F385" s="3"/>
      <c r="G385" s="3"/>
      <c r="H385" s="3"/>
      <c r="I385" s="3"/>
      <c r="J385" s="3"/>
      <c r="K385" s="111">
        <v>0.04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2:28">
      <c r="B386" s="66" t="s">
        <v>223</v>
      </c>
      <c r="D386" s="3"/>
      <c r="E386" s="3"/>
      <c r="F386" s="3"/>
      <c r="G386" s="3"/>
      <c r="H386" s="3"/>
      <c r="I386" s="3"/>
      <c r="J386" s="3"/>
      <c r="K386" s="359">
        <v>1.2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2:28">
      <c r="B387" s="66" t="s">
        <v>224</v>
      </c>
      <c r="K387" s="68">
        <f>K381+K385*K386</f>
        <v>9.8000000000000004E-2</v>
      </c>
    </row>
    <row r="388" spans="2:28">
      <c r="B388" s="66" t="s">
        <v>225</v>
      </c>
      <c r="K388" s="69">
        <v>0.3</v>
      </c>
    </row>
    <row r="389" spans="2:28">
      <c r="B389" s="70" t="s">
        <v>126</v>
      </c>
      <c r="K389" s="112">
        <f>K388*K384+(1-K388)*K387</f>
        <v>8.3539999999999989E-2</v>
      </c>
    </row>
    <row r="391" spans="2:28">
      <c r="B391" s="65" t="s">
        <v>1038</v>
      </c>
      <c r="C391" s="65">
        <f t="shared" ref="C391:J391" si="562">C176</f>
        <v>0</v>
      </c>
      <c r="D391" s="65">
        <f t="shared" si="562"/>
        <v>0</v>
      </c>
      <c r="E391" s="65">
        <f t="shared" si="562"/>
        <v>0</v>
      </c>
      <c r="F391" s="65">
        <f t="shared" si="562"/>
        <v>0</v>
      </c>
      <c r="G391" s="65">
        <f t="shared" si="562"/>
        <v>0</v>
      </c>
      <c r="H391" s="65">
        <f t="shared" si="562"/>
        <v>0</v>
      </c>
      <c r="I391" s="65">
        <f t="shared" si="562"/>
        <v>0</v>
      </c>
      <c r="J391" s="65">
        <f t="shared" si="562"/>
        <v>0</v>
      </c>
      <c r="K391" s="65">
        <f>K362</f>
        <v>2009</v>
      </c>
      <c r="L391" s="65">
        <f t="shared" ref="L391:V391" si="563">L362</f>
        <v>2010</v>
      </c>
      <c r="M391" s="65">
        <f t="shared" si="563"/>
        <v>2011</v>
      </c>
      <c r="N391" s="65">
        <f t="shared" si="563"/>
        <v>2012</v>
      </c>
      <c r="O391" s="65">
        <f t="shared" si="563"/>
        <v>2013</v>
      </c>
      <c r="P391" s="65">
        <f t="shared" si="563"/>
        <v>2014</v>
      </c>
      <c r="Q391" s="65">
        <f t="shared" si="563"/>
        <v>2015</v>
      </c>
      <c r="R391" s="65">
        <f t="shared" si="563"/>
        <v>2016</v>
      </c>
      <c r="S391" s="65">
        <f t="shared" si="563"/>
        <v>2017</v>
      </c>
      <c r="T391" s="65">
        <f t="shared" si="563"/>
        <v>2018</v>
      </c>
      <c r="U391" s="65">
        <f t="shared" si="563"/>
        <v>2019</v>
      </c>
      <c r="V391" s="65">
        <f t="shared" si="563"/>
        <v>2020</v>
      </c>
      <c r="W391" s="65">
        <f t="shared" ref="W391:AA391" si="564">W362</f>
        <v>2021</v>
      </c>
      <c r="X391" s="65">
        <f t="shared" si="564"/>
        <v>2022</v>
      </c>
      <c r="Y391" s="65">
        <f t="shared" si="564"/>
        <v>2023</v>
      </c>
      <c r="Z391" s="65">
        <f t="shared" si="564"/>
        <v>2024</v>
      </c>
      <c r="AA391" s="65">
        <f t="shared" si="564"/>
        <v>2025</v>
      </c>
      <c r="AB391" s="65">
        <f t="shared" ref="AB391" si="565">AB362</f>
        <v>2026</v>
      </c>
    </row>
    <row r="392" spans="2:28">
      <c r="B392" s="66"/>
      <c r="C392" s="66"/>
      <c r="D392" s="66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</row>
    <row r="393" spans="2:28">
      <c r="B393" s="3" t="s">
        <v>124</v>
      </c>
      <c r="C393" s="3"/>
      <c r="D393" s="3"/>
      <c r="E393" s="3"/>
      <c r="F393" s="3"/>
      <c r="G393" s="3"/>
      <c r="H393" s="3"/>
      <c r="I393" s="3"/>
      <c r="J393" s="3"/>
      <c r="K393" s="5">
        <v>0.3</v>
      </c>
      <c r="L393" s="5">
        <v>0.3</v>
      </c>
      <c r="M393" s="5">
        <v>0.3</v>
      </c>
      <c r="N393" s="5">
        <v>0.3</v>
      </c>
      <c r="O393" s="5">
        <v>0.3</v>
      </c>
      <c r="P393" s="5">
        <v>0.3</v>
      </c>
      <c r="Q393" s="5">
        <v>0.3</v>
      </c>
      <c r="R393" s="5">
        <v>0.3</v>
      </c>
      <c r="S393" s="5">
        <v>0.3</v>
      </c>
      <c r="T393" s="5">
        <v>0.3</v>
      </c>
      <c r="U393" s="5">
        <v>0.3</v>
      </c>
      <c r="V393" s="5">
        <v>0.3</v>
      </c>
      <c r="W393" s="5">
        <v>0.3</v>
      </c>
      <c r="X393" s="5">
        <v>0.3</v>
      </c>
      <c r="Y393" s="5">
        <v>0.3</v>
      </c>
      <c r="Z393" s="5">
        <v>0.3</v>
      </c>
      <c r="AA393" s="5">
        <v>0.3</v>
      </c>
      <c r="AB393" s="5">
        <v>0.3</v>
      </c>
    </row>
    <row r="394" spans="2:28">
      <c r="B394" s="3" t="s">
        <v>4</v>
      </c>
      <c r="C394" s="3"/>
      <c r="D394" s="3"/>
      <c r="E394" s="3"/>
      <c r="F394" s="3"/>
      <c r="G394" s="3"/>
      <c r="H394" s="3"/>
      <c r="I394" s="3"/>
      <c r="J394" s="3"/>
      <c r="K394" s="158">
        <f t="shared" ref="K394:V394" si="566">K230</f>
        <v>0</v>
      </c>
      <c r="L394" s="158">
        <f t="shared" si="566"/>
        <v>931</v>
      </c>
      <c r="M394" s="158">
        <f t="shared" si="566"/>
        <v>1843</v>
      </c>
      <c r="N394" s="158">
        <f t="shared" si="566"/>
        <v>3590</v>
      </c>
      <c r="O394" s="158">
        <f t="shared" si="566"/>
        <v>4066</v>
      </c>
      <c r="P394" s="158">
        <f t="shared" si="566"/>
        <v>5815</v>
      </c>
      <c r="Q394" s="158">
        <f t="shared" si="566"/>
        <v>6191</v>
      </c>
      <c r="R394" s="158">
        <f t="shared" si="566"/>
        <v>4759</v>
      </c>
      <c r="S394" s="158">
        <f t="shared" si="566"/>
        <v>2878</v>
      </c>
      <c r="T394" s="158">
        <f t="shared" si="566"/>
        <v>3207</v>
      </c>
      <c r="U394" s="158">
        <f t="shared" si="566"/>
        <v>3319.1956000000005</v>
      </c>
      <c r="V394" s="158">
        <f t="shared" si="566"/>
        <v>3662.9694300000001</v>
      </c>
      <c r="W394" s="158">
        <f t="shared" ref="W394:AA394" si="567">W230</f>
        <v>4024.3824137600004</v>
      </c>
      <c r="X394" s="158">
        <f t="shared" si="567"/>
        <v>4404.1835040586011</v>
      </c>
      <c r="Y394" s="158">
        <f t="shared" si="567"/>
        <v>4536.3090091803588</v>
      </c>
      <c r="Z394" s="158">
        <f t="shared" si="567"/>
        <v>4672.3982794557705</v>
      </c>
      <c r="AA394" s="158">
        <f t="shared" si="567"/>
        <v>5095.6625941829398</v>
      </c>
      <c r="AB394" s="158">
        <f t="shared" ref="AB394" si="568">AB230</f>
        <v>5248.5324720084272</v>
      </c>
    </row>
    <row r="395" spans="2:28">
      <c r="B395" s="3" t="s">
        <v>137</v>
      </c>
      <c r="C395" s="3"/>
      <c r="D395" s="3"/>
      <c r="E395" s="3"/>
      <c r="F395" s="3"/>
      <c r="G395" s="3"/>
      <c r="H395" s="3"/>
      <c r="I395" s="3"/>
      <c r="J395" s="3"/>
      <c r="K395" s="158">
        <f t="shared" ref="K395:V395" si="569">-K248</f>
        <v>-3778.1978242051891</v>
      </c>
      <c r="L395" s="158">
        <f t="shared" si="569"/>
        <v>-3578.8013205547213</v>
      </c>
      <c r="M395" s="158">
        <f t="shared" si="569"/>
        <v>-3918.0375771104386</v>
      </c>
      <c r="N395" s="158">
        <f t="shared" si="569"/>
        <v>-3640.8040666588936</v>
      </c>
      <c r="O395" s="158">
        <f t="shared" si="569"/>
        <v>-4899.0304170120608</v>
      </c>
      <c r="P395" s="158">
        <f t="shared" si="569"/>
        <v>-8807.2939697202546</v>
      </c>
      <c r="Q395" s="158">
        <f t="shared" si="569"/>
        <v>-7122.9200458038085</v>
      </c>
      <c r="R395" s="158">
        <f t="shared" si="569"/>
        <v>-5194.5621422578442</v>
      </c>
      <c r="S395" s="158">
        <f t="shared" si="569"/>
        <v>-5192.6224128848125</v>
      </c>
      <c r="T395" s="158">
        <f t="shared" ca="1" si="569"/>
        <v>-4380.937324543148</v>
      </c>
      <c r="U395" s="158">
        <f t="shared" ca="1" si="569"/>
        <v>-6133.3122543604068</v>
      </c>
      <c r="V395" s="158">
        <f t="shared" ca="1" si="569"/>
        <v>-6083.3122543604068</v>
      </c>
      <c r="W395" s="158">
        <f t="shared" ref="W395:AA395" ca="1" si="570">-W248</f>
        <v>-6033.3122543604068</v>
      </c>
      <c r="X395" s="158">
        <f t="shared" ca="1" si="570"/>
        <v>-5983.3122543604068</v>
      </c>
      <c r="Y395" s="158">
        <f t="shared" ca="1" si="570"/>
        <v>-5933.3122543604068</v>
      </c>
      <c r="Z395" s="158">
        <f t="shared" ca="1" si="570"/>
        <v>-5883.3122543604068</v>
      </c>
      <c r="AA395" s="158">
        <f t="shared" ca="1" si="570"/>
        <v>-5833.3122543604068</v>
      </c>
      <c r="AB395" s="158">
        <f t="shared" ref="AB395" ca="1" si="571">-AB248</f>
        <v>-5783.3122543604068</v>
      </c>
    </row>
    <row r="396" spans="2:28">
      <c r="B396" s="3" t="s">
        <v>177</v>
      </c>
      <c r="C396" s="3"/>
      <c r="D396" s="3"/>
      <c r="E396" s="3"/>
      <c r="F396" s="3"/>
      <c r="G396" s="3"/>
      <c r="H396" s="3"/>
      <c r="I396" s="3"/>
      <c r="J396" s="3"/>
      <c r="K396" s="158">
        <f>K394+K395</f>
        <v>-3778.1978242051891</v>
      </c>
      <c r="L396" s="158">
        <f t="shared" ref="L396:V396" si="572">L394+L395</f>
        <v>-2647.8013205547213</v>
      </c>
      <c r="M396" s="158">
        <f t="shared" si="572"/>
        <v>-2075.0375771104386</v>
      </c>
      <c r="N396" s="158">
        <f t="shared" si="572"/>
        <v>-50.804066658893589</v>
      </c>
      <c r="O396" s="158">
        <f t="shared" si="572"/>
        <v>-833.03041701206075</v>
      </c>
      <c r="P396" s="158">
        <f t="shared" si="572"/>
        <v>-2992.2939697202546</v>
      </c>
      <c r="Q396" s="158">
        <f t="shared" si="572"/>
        <v>-931.92004580380853</v>
      </c>
      <c r="R396" s="158">
        <f t="shared" si="572"/>
        <v>-435.56214225784424</v>
      </c>
      <c r="S396" s="158">
        <f t="shared" si="572"/>
        <v>-2314.6224128848125</v>
      </c>
      <c r="T396" s="158">
        <f t="shared" ca="1" si="572"/>
        <v>-1173.937324543148</v>
      </c>
      <c r="U396" s="158">
        <f t="shared" ca="1" si="572"/>
        <v>-2814.1166543604063</v>
      </c>
      <c r="V396" s="158">
        <f t="shared" ca="1" si="572"/>
        <v>-2420.3428243604067</v>
      </c>
      <c r="W396" s="158">
        <f t="shared" ref="W396:AA396" ca="1" si="573">W394+W395</f>
        <v>-2008.9298406004064</v>
      </c>
      <c r="X396" s="158">
        <f t="shared" ca="1" si="573"/>
        <v>-1579.1287503018057</v>
      </c>
      <c r="Y396" s="158">
        <f t="shared" ca="1" si="573"/>
        <v>-1397.003245180048</v>
      </c>
      <c r="Z396" s="158">
        <f t="shared" ca="1" si="573"/>
        <v>-1210.9139749046362</v>
      </c>
      <c r="AA396" s="158">
        <f t="shared" ca="1" si="573"/>
        <v>-737.64966017746701</v>
      </c>
      <c r="AB396" s="158">
        <f t="shared" ref="AB396" ca="1" si="574">AB394+AB395</f>
        <v>-534.77978235197952</v>
      </c>
    </row>
    <row r="397" spans="2:28">
      <c r="B397" s="3" t="s">
        <v>125</v>
      </c>
      <c r="C397" s="3"/>
      <c r="D397" s="3"/>
      <c r="E397" s="3"/>
      <c r="F397" s="3"/>
      <c r="G397" s="3"/>
      <c r="H397" s="3"/>
      <c r="I397" s="3"/>
      <c r="J397" s="3"/>
      <c r="K397" s="158">
        <f>(1-K393)*K396</f>
        <v>-2644.7384769436321</v>
      </c>
      <c r="L397" s="158">
        <f t="shared" ref="L397:V397" si="575">(1-L393)*L396</f>
        <v>-1853.4609243883049</v>
      </c>
      <c r="M397" s="158">
        <f t="shared" si="575"/>
        <v>-1452.526303977307</v>
      </c>
      <c r="N397" s="158">
        <f t="shared" si="575"/>
        <v>-35.562846661225507</v>
      </c>
      <c r="O397" s="158">
        <f t="shared" si="575"/>
        <v>-583.12129190844246</v>
      </c>
      <c r="P397" s="158">
        <f t="shared" si="575"/>
        <v>-2094.605778804178</v>
      </c>
      <c r="Q397" s="158">
        <f t="shared" si="575"/>
        <v>-652.34403206266597</v>
      </c>
      <c r="R397" s="158">
        <f t="shared" si="575"/>
        <v>-304.89349958049092</v>
      </c>
      <c r="S397" s="158">
        <f t="shared" si="575"/>
        <v>-1620.2356890193687</v>
      </c>
      <c r="T397" s="158">
        <f t="shared" ca="1" si="575"/>
        <v>-821.75612718020352</v>
      </c>
      <c r="U397" s="158">
        <f t="shared" ca="1" si="575"/>
        <v>-1969.8816580522844</v>
      </c>
      <c r="V397" s="158">
        <f t="shared" ca="1" si="575"/>
        <v>-1694.2399770522845</v>
      </c>
      <c r="W397" s="158">
        <f t="shared" ref="W397:AA397" ca="1" si="576">(1-W393)*W396</f>
        <v>-1406.2508884202844</v>
      </c>
      <c r="X397" s="158">
        <f t="shared" ca="1" si="576"/>
        <v>-1105.3901252112639</v>
      </c>
      <c r="Y397" s="158">
        <f t="shared" ca="1" si="576"/>
        <v>-977.90227162603355</v>
      </c>
      <c r="Z397" s="158">
        <f t="shared" ca="1" si="576"/>
        <v>-847.63978243324527</v>
      </c>
      <c r="AA397" s="158">
        <f t="shared" ca="1" si="576"/>
        <v>-516.35476212422691</v>
      </c>
      <c r="AB397" s="158">
        <f t="shared" ref="AB397" ca="1" si="577">(1-AB393)*AB396</f>
        <v>-374.34584764638566</v>
      </c>
    </row>
    <row r="398" spans="2:28">
      <c r="B398" s="3"/>
      <c r="C398" s="3"/>
      <c r="D398" s="3"/>
      <c r="E398" s="3"/>
      <c r="F398" s="3"/>
      <c r="G398" s="3"/>
      <c r="H398" s="3"/>
      <c r="I398" s="3"/>
      <c r="J398" s="3"/>
      <c r="K398" s="158"/>
      <c r="L398" s="158"/>
      <c r="M398" s="158"/>
      <c r="N398" s="158"/>
      <c r="O398" s="158"/>
      <c r="P398" s="5"/>
      <c r="Q398" s="5"/>
      <c r="R398" s="5"/>
      <c r="S398" s="5"/>
      <c r="T398" s="5"/>
      <c r="U398" s="5"/>
      <c r="V398" s="5"/>
    </row>
    <row r="399" spans="2:28">
      <c r="B399" s="113"/>
      <c r="D399" s="66"/>
      <c r="E399" s="66"/>
      <c r="F399" s="67"/>
      <c r="G399" s="67"/>
      <c r="H399" s="67"/>
      <c r="I399" s="67"/>
      <c r="J399" s="67"/>
      <c r="L399" s="67"/>
      <c r="M399" s="67"/>
      <c r="N399" s="67"/>
      <c r="O399" s="114" t="s">
        <v>588</v>
      </c>
      <c r="P399" s="67"/>
      <c r="Q399" s="67"/>
      <c r="R399" s="67"/>
      <c r="S399" s="67"/>
      <c r="T399" s="67"/>
      <c r="U399" s="67"/>
      <c r="V399" s="67"/>
    </row>
    <row r="400" spans="2:28">
      <c r="B400" s="66" t="s">
        <v>126</v>
      </c>
      <c r="D400" s="66"/>
      <c r="E400" s="66"/>
      <c r="F400" s="66"/>
      <c r="G400" s="66"/>
      <c r="H400" s="66"/>
      <c r="I400" s="66"/>
      <c r="J400" s="66"/>
      <c r="L400" s="66"/>
      <c r="M400" s="157"/>
      <c r="N400" s="157"/>
      <c r="O400" s="68">
        <f>Peru!N212</f>
        <v>9.9400000000000002E-2</v>
      </c>
      <c r="P400" s="66"/>
      <c r="Q400" s="66"/>
      <c r="R400" s="66"/>
      <c r="S400" s="66"/>
      <c r="T400" s="66"/>
      <c r="U400" s="66"/>
      <c r="V400" s="66"/>
    </row>
    <row r="401" spans="2:22">
      <c r="B401" s="66" t="s">
        <v>127</v>
      </c>
      <c r="D401" s="66"/>
      <c r="E401" s="66"/>
      <c r="F401" s="66"/>
      <c r="G401" s="66"/>
      <c r="H401" s="66"/>
      <c r="I401" s="66"/>
      <c r="J401" s="66"/>
      <c r="L401" s="66"/>
      <c r="M401" s="157"/>
      <c r="N401" s="157"/>
      <c r="O401" s="26">
        <f ca="1">NPV(O400,W397:AA397)</f>
        <v>-3831.2723672732545</v>
      </c>
      <c r="P401" s="66"/>
      <c r="Q401" s="66"/>
      <c r="R401" s="66"/>
      <c r="S401" s="66"/>
      <c r="T401" s="66"/>
      <c r="U401" s="66"/>
      <c r="V401" s="66"/>
    </row>
    <row r="402" spans="2:22">
      <c r="B402" s="66" t="s">
        <v>128</v>
      </c>
      <c r="D402" s="66"/>
      <c r="E402" s="66"/>
      <c r="F402" s="66"/>
      <c r="G402" s="66"/>
      <c r="H402" s="66"/>
      <c r="I402" s="66"/>
      <c r="J402" s="66"/>
      <c r="L402" s="66"/>
      <c r="M402" s="157"/>
      <c r="N402" s="157"/>
      <c r="O402" s="27">
        <v>11.7</v>
      </c>
      <c r="P402" s="66"/>
      <c r="Q402" s="66"/>
      <c r="R402" s="66"/>
      <c r="S402" s="66"/>
      <c r="T402" s="66"/>
      <c r="U402" s="66"/>
      <c r="V402" s="66"/>
    </row>
    <row r="403" spans="2:22">
      <c r="B403" s="66" t="s">
        <v>129</v>
      </c>
      <c r="D403" s="66"/>
      <c r="E403" s="66"/>
      <c r="F403" s="66"/>
      <c r="G403" s="66"/>
      <c r="H403" s="66"/>
      <c r="I403" s="66"/>
      <c r="J403" s="66"/>
      <c r="L403" s="66"/>
      <c r="M403" s="157"/>
      <c r="N403" s="157"/>
      <c r="O403" s="68">
        <f>O400-1/O402</f>
        <v>1.392991452991453E-2</v>
      </c>
      <c r="P403" s="66"/>
      <c r="Q403" s="66"/>
      <c r="R403" s="66"/>
      <c r="S403" s="66"/>
      <c r="T403" s="66"/>
      <c r="U403" s="66"/>
      <c r="V403" s="66"/>
    </row>
    <row r="404" spans="2:22">
      <c r="B404" s="66" t="s">
        <v>130</v>
      </c>
      <c r="D404" s="66"/>
      <c r="E404" s="66"/>
      <c r="F404" s="66"/>
      <c r="G404" s="66"/>
      <c r="H404" s="66"/>
      <c r="I404" s="66"/>
      <c r="J404" s="66"/>
      <c r="L404" s="66"/>
      <c r="M404" s="66"/>
      <c r="N404" s="66"/>
      <c r="O404" s="44">
        <f ca="1">O402*AA397</f>
        <v>-6041.3507168534543</v>
      </c>
      <c r="P404" s="66"/>
      <c r="Q404" s="66"/>
      <c r="R404" s="66"/>
      <c r="S404" s="66"/>
      <c r="T404" s="66"/>
      <c r="U404" s="66"/>
      <c r="V404" s="66"/>
    </row>
    <row r="405" spans="2:22">
      <c r="B405" s="66" t="s">
        <v>131</v>
      </c>
      <c r="D405" s="69"/>
      <c r="E405" s="69"/>
      <c r="F405" s="66"/>
      <c r="G405" s="66"/>
      <c r="H405" s="66"/>
      <c r="I405" s="66"/>
      <c r="J405" s="66"/>
      <c r="L405" s="66"/>
      <c r="M405" s="66"/>
      <c r="N405" s="66"/>
      <c r="O405" s="26">
        <f ca="1">O404/(1+O400)^5</f>
        <v>-3761.4507973569207</v>
      </c>
      <c r="P405" s="66"/>
      <c r="Q405" s="66"/>
      <c r="R405" s="66"/>
      <c r="S405" s="66"/>
      <c r="T405" s="66"/>
      <c r="U405" s="66"/>
      <c r="V405" s="66"/>
    </row>
    <row r="406" spans="2:22">
      <c r="B406" s="70" t="s">
        <v>227</v>
      </c>
      <c r="D406" s="66"/>
      <c r="E406" s="66"/>
      <c r="F406" s="67"/>
      <c r="G406" s="67"/>
      <c r="H406" s="67"/>
      <c r="I406" s="67"/>
      <c r="J406" s="67"/>
      <c r="L406" s="67"/>
      <c r="M406" s="67"/>
      <c r="N406" s="67"/>
      <c r="O406" s="71">
        <f ca="1">O401+O405</f>
        <v>-7592.7231646301752</v>
      </c>
      <c r="P406" s="67"/>
      <c r="Q406" s="67"/>
      <c r="R406" s="67"/>
      <c r="S406" s="67"/>
      <c r="T406" s="67"/>
      <c r="U406" s="67"/>
      <c r="V406" s="67"/>
    </row>
  </sheetData>
  <pageMargins left="0.70866141732283472" right="0.70866141732283472" top="0.74803149606299213" bottom="0.74803149606299213" header="0.31496062992125984" footer="0.31496062992125984"/>
  <pageSetup paperSize="9" scale="12" orientation="portrait" r:id="rId1"/>
  <ignoredErrors>
    <ignoredError sqref="L116:M116 L137:M137 L13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V72"/>
  <sheetViews>
    <sheetView zoomScale="72" zoomScaleNormal="72" workbookViewId="0">
      <selection activeCell="B2" sqref="B2"/>
    </sheetView>
  </sheetViews>
  <sheetFormatPr defaultRowHeight="14.4"/>
  <cols>
    <col min="1" max="1" width="3" customWidth="1"/>
    <col min="2" max="2" width="16.15625" customWidth="1"/>
    <col min="3" max="3" width="12.578125" customWidth="1"/>
    <col min="4" max="4" width="18.15625" customWidth="1"/>
    <col min="5" max="5" width="9.83984375" customWidth="1"/>
    <col min="6" max="6" width="10.83984375" customWidth="1"/>
    <col min="7" max="7" width="9.83984375" customWidth="1"/>
    <col min="8" max="8" width="11.578125" customWidth="1"/>
    <col min="9" max="22" width="9.83984375" customWidth="1"/>
  </cols>
  <sheetData>
    <row r="1" spans="2:18">
      <c r="B1" s="3"/>
      <c r="C1" s="3"/>
      <c r="D1" s="3"/>
      <c r="E1" s="3"/>
      <c r="F1" s="3"/>
      <c r="G1" s="3"/>
      <c r="H1" s="3"/>
      <c r="R1" s="87"/>
    </row>
    <row r="2" spans="2:18">
      <c r="B2" s="130" t="s">
        <v>2927</v>
      </c>
      <c r="C2" s="123" t="s">
        <v>1031</v>
      </c>
      <c r="D2" s="123" t="s">
        <v>3336</v>
      </c>
      <c r="E2" s="123" t="s">
        <v>1032</v>
      </c>
      <c r="F2" s="123" t="s">
        <v>1033</v>
      </c>
      <c r="G2" s="123" t="s">
        <v>1034</v>
      </c>
      <c r="H2" s="123" t="s">
        <v>1035</v>
      </c>
      <c r="R2" s="87"/>
    </row>
    <row r="3" spans="2:18">
      <c r="B3" s="119" t="s">
        <v>132</v>
      </c>
      <c r="C3" s="129">
        <v>1</v>
      </c>
      <c r="D3" s="125">
        <f>Master!J137</f>
        <v>459243.6494007358</v>
      </c>
      <c r="E3" s="355">
        <f>F3/D3</f>
        <v>3.8270538170937334</v>
      </c>
      <c r="F3" s="125">
        <f>SOP!C40</f>
        <v>1757550.1614151422</v>
      </c>
      <c r="G3" s="129">
        <f>F3/F$6</f>
        <v>0.70004250052359596</v>
      </c>
      <c r="H3" s="356" t="s">
        <v>1036</v>
      </c>
      <c r="R3" s="87"/>
    </row>
    <row r="4" spans="2:18">
      <c r="B4" s="119" t="s">
        <v>30</v>
      </c>
      <c r="C4" s="129">
        <v>1</v>
      </c>
      <c r="D4" s="125">
        <f>Master!J167</f>
        <v>137522.88660728495</v>
      </c>
      <c r="E4" s="355">
        <f>F4/D4</f>
        <v>5.3383073318345939</v>
      </c>
      <c r="F4" s="125">
        <f>SOP!C71</f>
        <v>734139.43387072673</v>
      </c>
      <c r="G4" s="129">
        <f>F4/F$6</f>
        <v>0.29241202686700901</v>
      </c>
      <c r="H4" s="356" t="s">
        <v>1036</v>
      </c>
      <c r="R4" s="87"/>
    </row>
    <row r="5" spans="2:18">
      <c r="B5" s="130" t="s">
        <v>20</v>
      </c>
      <c r="C5" s="357">
        <v>1</v>
      </c>
      <c r="D5" s="131">
        <f>Master!J24</f>
        <v>4950</v>
      </c>
      <c r="E5" s="655">
        <f>E3</f>
        <v>3.8270538170937334</v>
      </c>
      <c r="F5" s="131">
        <f>D5*E5</f>
        <v>18943.916394613982</v>
      </c>
      <c r="G5" s="357">
        <f>F5/F$6</f>
        <v>7.5454726093948854E-3</v>
      </c>
      <c r="H5" s="123" t="s">
        <v>1036</v>
      </c>
      <c r="R5" s="87"/>
    </row>
    <row r="6" spans="2:18">
      <c r="B6" s="119" t="s">
        <v>68</v>
      </c>
      <c r="C6" s="129"/>
      <c r="D6" s="125"/>
      <c r="E6" s="355"/>
      <c r="F6" s="125">
        <f>SUM(F3:F5)</f>
        <v>2510633.5116804834</v>
      </c>
      <c r="G6" s="129"/>
      <c r="H6" s="356"/>
      <c r="R6" s="87"/>
    </row>
    <row r="7" spans="2:18">
      <c r="B7" s="119"/>
      <c r="C7" s="129"/>
      <c r="D7" s="125"/>
      <c r="E7" s="355"/>
      <c r="F7" s="129"/>
      <c r="G7" s="129"/>
      <c r="H7" s="356"/>
      <c r="R7" s="87"/>
    </row>
    <row r="8" spans="2:18">
      <c r="B8" s="119" t="s">
        <v>3313</v>
      </c>
      <c r="C8" s="119"/>
      <c r="D8" s="119"/>
      <c r="E8" s="119"/>
      <c r="F8" s="125">
        <f>Master!J101</f>
        <v>1278773.3372754243</v>
      </c>
      <c r="G8" s="125"/>
      <c r="H8" s="119"/>
      <c r="R8" s="87"/>
    </row>
    <row r="9" spans="2:18">
      <c r="B9" s="130" t="s">
        <v>2901</v>
      </c>
      <c r="C9" s="130"/>
      <c r="D9" s="130"/>
      <c r="E9" s="130"/>
      <c r="F9" s="656">
        <f>300*Master!J175</f>
        <v>279090</v>
      </c>
      <c r="G9" s="119"/>
      <c r="H9" s="119"/>
      <c r="R9" s="87"/>
    </row>
    <row r="10" spans="2:18">
      <c r="B10" s="119" t="s">
        <v>228</v>
      </c>
      <c r="C10" s="119"/>
      <c r="D10" s="119"/>
      <c r="E10" s="119"/>
      <c r="F10" s="125">
        <f>F6-F8-F9</f>
        <v>952770.17440505908</v>
      </c>
      <c r="G10" s="119"/>
      <c r="H10" s="119"/>
      <c r="R10" s="87"/>
    </row>
    <row r="11" spans="2:18">
      <c r="B11" s="119" t="s">
        <v>3315</v>
      </c>
      <c r="C11" s="119"/>
      <c r="D11" s="119"/>
      <c r="E11" s="119"/>
      <c r="F11" s="125">
        <f>Master!J81</f>
        <v>302.01711299999999</v>
      </c>
      <c r="G11" s="119"/>
      <c r="H11" s="119"/>
      <c r="R11" s="87"/>
    </row>
    <row r="12" spans="2:18">
      <c r="B12" s="119" t="s">
        <v>1037</v>
      </c>
      <c r="C12" s="119"/>
      <c r="D12" s="119"/>
      <c r="E12" s="119"/>
      <c r="F12" s="353">
        <f>F10/F11</f>
        <v>3154.689364920388</v>
      </c>
      <c r="G12" s="358"/>
      <c r="H12" s="119"/>
      <c r="R12" s="87"/>
    </row>
    <row r="13" spans="2:18">
      <c r="B13" s="119" t="s">
        <v>1846</v>
      </c>
      <c r="C13" s="119"/>
      <c r="D13" s="119"/>
      <c r="E13" s="119"/>
      <c r="F13" s="657">
        <v>0</v>
      </c>
      <c r="G13" s="119"/>
      <c r="H13" s="119"/>
    </row>
    <row r="14" spans="2:18">
      <c r="B14" s="354" t="s">
        <v>3314</v>
      </c>
      <c r="C14" s="354"/>
      <c r="D14" s="354"/>
      <c r="E14" s="354"/>
      <c r="F14" s="658">
        <f>F12+F13</f>
        <v>3154.689364920388</v>
      </c>
      <c r="G14" s="129"/>
      <c r="H14" s="119"/>
    </row>
    <row r="15" spans="2:18">
      <c r="B15" s="119" t="s">
        <v>1634</v>
      </c>
      <c r="C15" s="119"/>
      <c r="D15" s="119"/>
      <c r="E15" s="119" t="s">
        <v>38</v>
      </c>
      <c r="F15" s="500">
        <f>Valuation!B2</f>
        <v>3090</v>
      </c>
      <c r="G15" s="119"/>
      <c r="H15" s="119"/>
    </row>
    <row r="16" spans="2:18">
      <c r="B16" s="119" t="s">
        <v>2724</v>
      </c>
      <c r="F16" s="483">
        <f>F14/F15-1</f>
        <v>2.0935069553523533E-2</v>
      </c>
      <c r="G16" s="119"/>
      <c r="H16" s="119"/>
    </row>
    <row r="20" spans="2:15">
      <c r="B20" s="466" t="s">
        <v>2608</v>
      </c>
      <c r="C20" s="3"/>
      <c r="D20" s="3"/>
      <c r="E20" s="95">
        <f>Master!F2</f>
        <v>2020</v>
      </c>
      <c r="F20" s="95">
        <f>Master!G2</f>
        <v>2021</v>
      </c>
      <c r="G20" s="95">
        <f>Master!H2</f>
        <v>2022</v>
      </c>
      <c r="H20" s="95">
        <f>Master!I2</f>
        <v>2023</v>
      </c>
      <c r="I20" s="95">
        <f>Master!J2</f>
        <v>2024</v>
      </c>
      <c r="J20" s="95">
        <f>Master!K2</f>
        <v>2025</v>
      </c>
      <c r="K20" s="95">
        <f>Master!L2</f>
        <v>2026</v>
      </c>
      <c r="L20" s="95">
        <f>Master!M2</f>
        <v>2027</v>
      </c>
      <c r="M20" s="95">
        <f>Master!N2</f>
        <v>2028</v>
      </c>
      <c r="N20" s="95">
        <f>Master!O2</f>
        <v>2029</v>
      </c>
      <c r="O20" s="95">
        <f>Master!P2</f>
        <v>2030</v>
      </c>
    </row>
    <row r="21" spans="2:15">
      <c r="B21" s="3" t="s">
        <v>2605</v>
      </c>
      <c r="C21" s="3"/>
      <c r="D21" s="3"/>
      <c r="E21" s="87">
        <f>Master!E137-Master!E141</f>
        <v>197326.5</v>
      </c>
      <c r="F21" s="87">
        <f>Master!F137-Master!F141</f>
        <v>224790.86964531179</v>
      </c>
      <c r="G21" s="87">
        <f>Master!G137-Master!G141</f>
        <v>226695.703565781</v>
      </c>
      <c r="H21" s="87">
        <f>Master!H137-Master!H141</f>
        <v>113921.32902021013</v>
      </c>
      <c r="I21" s="87">
        <f>Master!I137-Master!I141</f>
        <v>138929.67771498638</v>
      </c>
      <c r="J21" s="87">
        <f>Master!J137-Master!J141</f>
        <v>68517.649400735798</v>
      </c>
      <c r="K21" s="87">
        <f>Master!K137-Master!K141</f>
        <v>85397.530961772602</v>
      </c>
      <c r="L21" s="87">
        <f>Master!L137-Master!L141</f>
        <v>129563.04756773112</v>
      </c>
      <c r="M21" s="87">
        <f>Master!M137-Master!M141</f>
        <v>164448.32147874602</v>
      </c>
      <c r="N21" s="87">
        <f>Master!N137-Master!N141</f>
        <v>199567.99150429934</v>
      </c>
      <c r="O21" s="87">
        <f>Master!O137-Master!O141</f>
        <v>234947.6186148838</v>
      </c>
    </row>
    <row r="22" spans="2:15">
      <c r="B22" s="3" t="s">
        <v>2571</v>
      </c>
      <c r="C22" s="3"/>
      <c r="D22" s="3"/>
      <c r="E22" s="87">
        <f t="shared" ref="E22:O22" si="0">E21*0.73</f>
        <v>144048.345</v>
      </c>
      <c r="F22" s="87">
        <f t="shared" si="0"/>
        <v>164097.33484107759</v>
      </c>
      <c r="G22" s="87">
        <f t="shared" si="0"/>
        <v>165487.86360302012</v>
      </c>
      <c r="H22" s="87">
        <f t="shared" si="0"/>
        <v>83162.570184753393</v>
      </c>
      <c r="I22" s="87">
        <f t="shared" si="0"/>
        <v>101418.66473194005</v>
      </c>
      <c r="J22" s="87">
        <f t="shared" si="0"/>
        <v>50017.88406253713</v>
      </c>
      <c r="K22" s="87">
        <f t="shared" si="0"/>
        <v>62340.197602093998</v>
      </c>
      <c r="L22" s="87">
        <f t="shared" si="0"/>
        <v>94581.02472444372</v>
      </c>
      <c r="M22" s="87">
        <f t="shared" si="0"/>
        <v>120047.27467948459</v>
      </c>
      <c r="N22" s="87">
        <f t="shared" si="0"/>
        <v>145684.6337981385</v>
      </c>
      <c r="O22" s="87">
        <f t="shared" si="0"/>
        <v>171511.76158886516</v>
      </c>
    </row>
    <row r="23" spans="2:15">
      <c r="B23" s="46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2:15">
      <c r="B24" s="367" t="s">
        <v>2569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5">
      <c r="B25" s="3" t="s">
        <v>218</v>
      </c>
      <c r="C25" s="110">
        <v>5.5E-2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2:15">
      <c r="B26" s="3" t="s">
        <v>219</v>
      </c>
      <c r="C26" s="110">
        <v>3.5000000000000003E-2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2:15">
      <c r="B27" s="3" t="s">
        <v>220</v>
      </c>
      <c r="C27" s="110">
        <f>C25+C26</f>
        <v>0.09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5">
      <c r="B28" s="3" t="s">
        <v>221</v>
      </c>
      <c r="C28" s="68">
        <f>C27*(1-0.27)</f>
        <v>6.5699999999999995E-2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2:15">
      <c r="B29" s="3" t="s">
        <v>222</v>
      </c>
      <c r="C29" s="68">
        <v>0.04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2:15">
      <c r="B30" s="3" t="s">
        <v>223</v>
      </c>
      <c r="C30" s="390">
        <v>1.2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2:15">
      <c r="B31" s="3" t="s">
        <v>224</v>
      </c>
      <c r="C31" s="68">
        <f>C25+C29*C30</f>
        <v>0.10300000000000001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15">
      <c r="B32" s="3" t="s">
        <v>225</v>
      </c>
      <c r="C32" s="69">
        <v>0.35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22">
      <c r="B33" s="3" t="s">
        <v>126</v>
      </c>
      <c r="C33" s="112">
        <f>C32*C28+(1-C32)*C31</f>
        <v>8.9945000000000011E-2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2:2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2:22">
      <c r="B35" s="3" t="s">
        <v>127</v>
      </c>
      <c r="C35" s="87">
        <f>NPV(C33,J22:O22)</f>
        <v>453479.45447455853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2:22">
      <c r="B36" s="3" t="s">
        <v>128</v>
      </c>
      <c r="C36" s="456">
        <f>1/(C33-C37)</f>
        <v>12.747785072343678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2:22">
      <c r="B37" s="3" t="s">
        <v>539</v>
      </c>
      <c r="C37" s="398">
        <v>1.15E-2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2:22">
      <c r="B38" s="3" t="s">
        <v>130</v>
      </c>
      <c r="C38" s="87">
        <f>C36*O22</f>
        <v>2186395.0741139031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2:22">
      <c r="B39" s="3" t="s">
        <v>131</v>
      </c>
      <c r="C39" s="87">
        <f>C38/(1+C33)^6</f>
        <v>1304070.7069405837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2:22">
      <c r="B40" s="95" t="s">
        <v>2570</v>
      </c>
      <c r="C40" s="467">
        <f>C35+C39</f>
        <v>1757550.1614151422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2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2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2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2:22">
      <c r="B44" s="466" t="s">
        <v>2609</v>
      </c>
      <c r="C44" s="3"/>
      <c r="D44" s="95">
        <v>2019</v>
      </c>
      <c r="E44" s="95">
        <f t="shared" ref="E44:O44" si="1">E20</f>
        <v>2020</v>
      </c>
      <c r="F44" s="95">
        <f t="shared" si="1"/>
        <v>2021</v>
      </c>
      <c r="G44" s="95">
        <f t="shared" si="1"/>
        <v>2022</v>
      </c>
      <c r="H44" s="95">
        <f t="shared" si="1"/>
        <v>2023</v>
      </c>
      <c r="I44" s="95">
        <f t="shared" si="1"/>
        <v>2024</v>
      </c>
      <c r="J44" s="95">
        <f t="shared" si="1"/>
        <v>2025</v>
      </c>
      <c r="K44" s="95">
        <f t="shared" si="1"/>
        <v>2026</v>
      </c>
      <c r="L44" s="95">
        <f t="shared" si="1"/>
        <v>2027</v>
      </c>
      <c r="M44" s="95">
        <f t="shared" si="1"/>
        <v>2028</v>
      </c>
      <c r="N44" s="95">
        <f t="shared" si="1"/>
        <v>2029</v>
      </c>
      <c r="O44" s="95">
        <f t="shared" si="1"/>
        <v>2030</v>
      </c>
      <c r="P44" s="95">
        <f>O44+1</f>
        <v>2031</v>
      </c>
      <c r="Q44" s="95">
        <f t="shared" ref="Q44:T44" si="2">P44+1</f>
        <v>2032</v>
      </c>
      <c r="R44" s="95">
        <f t="shared" si="2"/>
        <v>2033</v>
      </c>
      <c r="S44" s="95">
        <f t="shared" si="2"/>
        <v>2034</v>
      </c>
      <c r="T44" s="95">
        <f t="shared" si="2"/>
        <v>2035</v>
      </c>
      <c r="U44" s="95">
        <f t="shared" ref="U44" si="3">T44+1</f>
        <v>2036</v>
      </c>
      <c r="V44" s="95"/>
    </row>
    <row r="45" spans="2:22">
      <c r="B45" s="3" t="s">
        <v>177</v>
      </c>
      <c r="C45" s="3"/>
      <c r="D45" s="3"/>
      <c r="E45" s="87">
        <f>Master!F173</f>
        <v>-66444.869645311803</v>
      </c>
      <c r="F45" s="87">
        <f>Master!G173</f>
        <v>-25816.703565780976</v>
      </c>
      <c r="G45" s="87">
        <f>Master!H173</f>
        <v>-18268.329020210105</v>
      </c>
      <c r="H45" s="87">
        <f>Master!I173</f>
        <v>-12221.677714986392</v>
      </c>
      <c r="I45" s="87">
        <f>Master!J173</f>
        <v>-6673.6133927150513</v>
      </c>
      <c r="J45" s="87">
        <f>Master!K173</f>
        <v>16398.374635879387</v>
      </c>
      <c r="K45" s="87">
        <f>Master!L173</f>
        <v>44457.219299193253</v>
      </c>
      <c r="L45" s="87">
        <f>Master!M173</f>
        <v>58952.184073070952</v>
      </c>
      <c r="M45" s="87">
        <f>Master!N173</f>
        <v>66831.787575374197</v>
      </c>
      <c r="N45" s="87">
        <f>Master!O173</f>
        <v>75083.741964472632</v>
      </c>
      <c r="O45" s="87">
        <f>Master!P173</f>
        <v>83718.771979181649</v>
      </c>
      <c r="P45" s="457">
        <f>O45*(1+$C$37)</f>
        <v>84681.537856942246</v>
      </c>
      <c r="Q45" s="457">
        <f t="shared" ref="Q45:U45" si="4">P45*(1+$C$37)</f>
        <v>85655.375542297086</v>
      </c>
      <c r="R45" s="457">
        <f t="shared" si="4"/>
        <v>86640.412361033508</v>
      </c>
      <c r="S45" s="457">
        <f t="shared" si="4"/>
        <v>87636.777103185406</v>
      </c>
      <c r="T45" s="457">
        <f t="shared" si="4"/>
        <v>88644.60003987205</v>
      </c>
      <c r="U45" s="457">
        <f t="shared" si="4"/>
        <v>89664.012940330591</v>
      </c>
      <c r="V45" s="87"/>
    </row>
    <row r="46" spans="2:22">
      <c r="B46" s="3"/>
      <c r="C46" s="3"/>
      <c r="D46" s="3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</row>
    <row r="47" spans="2:22">
      <c r="B47" s="3" t="s">
        <v>2573</v>
      </c>
      <c r="C47" s="3"/>
      <c r="D47" s="266">
        <v>682381</v>
      </c>
      <c r="E47" s="87">
        <f t="shared" ref="E47:P47" si="5">D47-E48</f>
        <v>748825.86964531185</v>
      </c>
      <c r="F47" s="87">
        <f t="shared" si="5"/>
        <v>774642.57321109285</v>
      </c>
      <c r="G47" s="87">
        <f t="shared" si="5"/>
        <v>792910.90223130293</v>
      </c>
      <c r="H47" s="87">
        <f t="shared" si="5"/>
        <v>805132.5799462893</v>
      </c>
      <c r="I47" s="87">
        <f t="shared" si="5"/>
        <v>811806.19333900441</v>
      </c>
      <c r="J47" s="87">
        <f t="shared" si="5"/>
        <v>795407.818703125</v>
      </c>
      <c r="K47" s="87">
        <f t="shared" si="5"/>
        <v>750950.59940393176</v>
      </c>
      <c r="L47" s="87">
        <f t="shared" si="5"/>
        <v>691998.41533086076</v>
      </c>
      <c r="M47" s="87">
        <f t="shared" si="5"/>
        <v>625166.62775548652</v>
      </c>
      <c r="N47" s="87">
        <f t="shared" si="5"/>
        <v>550082.88579101395</v>
      </c>
      <c r="O47" s="87">
        <f t="shared" si="5"/>
        <v>466364.11381183227</v>
      </c>
      <c r="P47" s="87">
        <f t="shared" si="5"/>
        <v>381682.57595489</v>
      </c>
      <c r="Q47" s="87">
        <f t="shared" ref="Q47:U47" si="6">P47-Q48</f>
        <v>296027.20041259291</v>
      </c>
      <c r="R47" s="87">
        <f t="shared" si="6"/>
        <v>209386.78805155942</v>
      </c>
      <c r="S47" s="87">
        <f t="shared" si="6"/>
        <v>121750.01094837401</v>
      </c>
      <c r="T47" s="87">
        <f t="shared" si="6"/>
        <v>33105.410908501959</v>
      </c>
      <c r="U47" s="87">
        <f t="shared" si="6"/>
        <v>-56558.602031828632</v>
      </c>
      <c r="V47" s="87"/>
    </row>
    <row r="48" spans="2:22">
      <c r="B48" s="3" t="s">
        <v>2575</v>
      </c>
      <c r="C48" s="3"/>
      <c r="D48" s="3"/>
      <c r="E48" s="87">
        <f t="shared" ref="E48:P48" si="7">E45</f>
        <v>-66444.869645311803</v>
      </c>
      <c r="F48" s="87">
        <f t="shared" si="7"/>
        <v>-25816.703565780976</v>
      </c>
      <c r="G48" s="87">
        <f t="shared" si="7"/>
        <v>-18268.329020210105</v>
      </c>
      <c r="H48" s="87">
        <f t="shared" si="7"/>
        <v>-12221.677714986392</v>
      </c>
      <c r="I48" s="87">
        <f t="shared" si="7"/>
        <v>-6673.6133927150513</v>
      </c>
      <c r="J48" s="87">
        <f t="shared" si="7"/>
        <v>16398.374635879387</v>
      </c>
      <c r="K48" s="87">
        <f t="shared" si="7"/>
        <v>44457.219299193253</v>
      </c>
      <c r="L48" s="87">
        <f t="shared" si="7"/>
        <v>58952.184073070952</v>
      </c>
      <c r="M48" s="87">
        <f t="shared" si="7"/>
        <v>66831.787575374197</v>
      </c>
      <c r="N48" s="87">
        <f t="shared" si="7"/>
        <v>75083.741964472632</v>
      </c>
      <c r="O48" s="87">
        <f t="shared" si="7"/>
        <v>83718.771979181649</v>
      </c>
      <c r="P48" s="87">
        <f t="shared" si="7"/>
        <v>84681.537856942246</v>
      </c>
      <c r="Q48" s="87">
        <f t="shared" ref="Q48:T48" si="8">Q45</f>
        <v>85655.375542297086</v>
      </c>
      <c r="R48" s="87">
        <f t="shared" si="8"/>
        <v>86640.412361033508</v>
      </c>
      <c r="S48" s="87">
        <f t="shared" si="8"/>
        <v>87636.777103185406</v>
      </c>
      <c r="T48" s="87">
        <f t="shared" si="8"/>
        <v>88644.60003987205</v>
      </c>
      <c r="U48" s="87">
        <f t="shared" ref="U48" si="9">U45</f>
        <v>89664.012940330591</v>
      </c>
      <c r="V48" s="87"/>
    </row>
    <row r="49" spans="2:22">
      <c r="B49" s="3" t="s">
        <v>2576</v>
      </c>
      <c r="C49" s="3"/>
      <c r="D49" s="3"/>
      <c r="E49" s="87">
        <f t="shared" ref="E49:P49" si="10">IF(E47&gt;0, 0, (-E50*E48))</f>
        <v>0</v>
      </c>
      <c r="F49" s="87">
        <f t="shared" si="10"/>
        <v>0</v>
      </c>
      <c r="G49" s="87">
        <f t="shared" si="10"/>
        <v>0</v>
      </c>
      <c r="H49" s="87">
        <f t="shared" si="10"/>
        <v>0</v>
      </c>
      <c r="I49" s="87">
        <f t="shared" si="10"/>
        <v>0</v>
      </c>
      <c r="J49" s="87">
        <f t="shared" si="10"/>
        <v>0</v>
      </c>
      <c r="K49" s="87">
        <f t="shared" si="10"/>
        <v>0</v>
      </c>
      <c r="L49" s="87">
        <f t="shared" si="10"/>
        <v>0</v>
      </c>
      <c r="M49" s="87">
        <f t="shared" si="10"/>
        <v>0</v>
      </c>
      <c r="N49" s="87">
        <f t="shared" si="10"/>
        <v>0</v>
      </c>
      <c r="O49" s="87">
        <f t="shared" si="10"/>
        <v>0</v>
      </c>
      <c r="P49" s="87">
        <f t="shared" si="10"/>
        <v>0</v>
      </c>
      <c r="Q49" s="87">
        <f t="shared" ref="Q49:U49" si="11">IF(Q47&gt;0, 0, (-Q50*Q48))</f>
        <v>0</v>
      </c>
      <c r="R49" s="87">
        <f t="shared" si="11"/>
        <v>0</v>
      </c>
      <c r="S49" s="87">
        <f t="shared" si="11"/>
        <v>0</v>
      </c>
      <c r="T49" s="87">
        <f t="shared" si="11"/>
        <v>0</v>
      </c>
      <c r="U49" s="87">
        <f t="shared" si="11"/>
        <v>-26450.883817397524</v>
      </c>
      <c r="V49" s="87"/>
    </row>
    <row r="50" spans="2:22">
      <c r="B50" s="3" t="s">
        <v>124</v>
      </c>
      <c r="C50" s="3"/>
      <c r="D50" s="3"/>
      <c r="E50" s="97">
        <v>0.29499999999999998</v>
      </c>
      <c r="F50" s="97">
        <v>0.29499999999999998</v>
      </c>
      <c r="G50" s="97">
        <v>0.29499999999999998</v>
      </c>
      <c r="H50" s="97">
        <v>0.29499999999999998</v>
      </c>
      <c r="I50" s="97">
        <v>0.29499999999999998</v>
      </c>
      <c r="J50" s="97">
        <v>0.29499999999999998</v>
      </c>
      <c r="K50" s="97">
        <v>0.29499999999999998</v>
      </c>
      <c r="L50" s="97">
        <v>0.29499999999999998</v>
      </c>
      <c r="M50" s="97">
        <v>0.29499999999999998</v>
      </c>
      <c r="N50" s="97">
        <v>0.29499999999999998</v>
      </c>
      <c r="O50" s="97">
        <v>0.29499999999999998</v>
      </c>
      <c r="P50" s="97">
        <v>0.29499999999999998</v>
      </c>
      <c r="Q50" s="97">
        <v>0.29499999999999998</v>
      </c>
      <c r="R50" s="97">
        <v>0.29499999999999998</v>
      </c>
      <c r="S50" s="97">
        <v>0.29499999999999998</v>
      </c>
      <c r="T50" s="97">
        <v>0.29499999999999998</v>
      </c>
      <c r="U50" s="97">
        <v>0.29499999999999998</v>
      </c>
      <c r="V50" s="87"/>
    </row>
    <row r="51" spans="2:22">
      <c r="B51" s="3" t="s">
        <v>681</v>
      </c>
      <c r="C51" s="3"/>
      <c r="D51" s="3"/>
      <c r="E51" s="87">
        <f t="shared" ref="E51:P51" si="12">-E50*E49</f>
        <v>0</v>
      </c>
      <c r="F51" s="87">
        <f t="shared" si="12"/>
        <v>0</v>
      </c>
      <c r="G51" s="87">
        <f t="shared" si="12"/>
        <v>0</v>
      </c>
      <c r="H51" s="87">
        <f t="shared" si="12"/>
        <v>0</v>
      </c>
      <c r="I51" s="87">
        <f t="shared" si="12"/>
        <v>0</v>
      </c>
      <c r="J51" s="87">
        <f t="shared" si="12"/>
        <v>0</v>
      </c>
      <c r="K51" s="87">
        <f t="shared" si="12"/>
        <v>0</v>
      </c>
      <c r="L51" s="87">
        <f t="shared" si="12"/>
        <v>0</v>
      </c>
      <c r="M51" s="87">
        <f t="shared" si="12"/>
        <v>0</v>
      </c>
      <c r="N51" s="87">
        <f t="shared" si="12"/>
        <v>0</v>
      </c>
      <c r="O51" s="87">
        <f t="shared" si="12"/>
        <v>0</v>
      </c>
      <c r="P51" s="87">
        <f t="shared" si="12"/>
        <v>0</v>
      </c>
      <c r="Q51" s="87">
        <f t="shared" ref="Q51:U51" si="13">-Q50*Q49</f>
        <v>0</v>
      </c>
      <c r="R51" s="87">
        <f t="shared" si="13"/>
        <v>0</v>
      </c>
      <c r="S51" s="87">
        <f t="shared" si="13"/>
        <v>0</v>
      </c>
      <c r="T51" s="87">
        <f t="shared" si="13"/>
        <v>0</v>
      </c>
      <c r="U51" s="87">
        <f t="shared" si="13"/>
        <v>7803.0107261322692</v>
      </c>
      <c r="V51" s="87"/>
    </row>
    <row r="52" spans="2:2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>
      <c r="B53" s="3" t="s">
        <v>125</v>
      </c>
      <c r="C53" s="3"/>
      <c r="D53" s="3"/>
      <c r="E53" s="87">
        <f t="shared" ref="E53:P53" si="14">E45-E51</f>
        <v>-66444.869645311803</v>
      </c>
      <c r="F53" s="87">
        <f t="shared" si="14"/>
        <v>-25816.703565780976</v>
      </c>
      <c r="G53" s="87">
        <f t="shared" si="14"/>
        <v>-18268.329020210105</v>
      </c>
      <c r="H53" s="87">
        <f t="shared" si="14"/>
        <v>-12221.677714986392</v>
      </c>
      <c r="I53" s="87">
        <f t="shared" si="14"/>
        <v>-6673.6133927150513</v>
      </c>
      <c r="J53" s="87">
        <f t="shared" si="14"/>
        <v>16398.374635879387</v>
      </c>
      <c r="K53" s="87">
        <f t="shared" si="14"/>
        <v>44457.219299193253</v>
      </c>
      <c r="L53" s="87">
        <f t="shared" si="14"/>
        <v>58952.184073070952</v>
      </c>
      <c r="M53" s="87">
        <f t="shared" si="14"/>
        <v>66831.787575374197</v>
      </c>
      <c r="N53" s="87">
        <f t="shared" si="14"/>
        <v>75083.741964472632</v>
      </c>
      <c r="O53" s="87">
        <f t="shared" si="14"/>
        <v>83718.771979181649</v>
      </c>
      <c r="P53" s="87">
        <f t="shared" si="14"/>
        <v>84681.537856942246</v>
      </c>
      <c r="Q53" s="87">
        <f t="shared" ref="Q53:T53" si="15">Q45-Q51</f>
        <v>85655.375542297086</v>
      </c>
      <c r="R53" s="87">
        <f t="shared" si="15"/>
        <v>86640.412361033508</v>
      </c>
      <c r="S53" s="87">
        <f t="shared" si="15"/>
        <v>87636.777103185406</v>
      </c>
      <c r="T53" s="87">
        <f t="shared" si="15"/>
        <v>88644.60003987205</v>
      </c>
      <c r="U53" s="87">
        <f t="shared" ref="U53" si="16">U45-U51</f>
        <v>81861.002214198321</v>
      </c>
      <c r="V53" s="87"/>
    </row>
    <row r="54" spans="2:22">
      <c r="B54" s="46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2:22">
      <c r="B55" s="367" t="s">
        <v>2572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2:22">
      <c r="B56" s="3" t="s">
        <v>218</v>
      </c>
      <c r="C56" s="110">
        <v>6.5000000000000002E-2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2:22">
      <c r="B57" s="3" t="s">
        <v>219</v>
      </c>
      <c r="C57" s="110">
        <v>3.5000000000000003E-2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2:22">
      <c r="B58" s="3" t="s">
        <v>220</v>
      </c>
      <c r="C58" s="110">
        <f>C56+C57</f>
        <v>0.1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2:22">
      <c r="B59" s="3" t="s">
        <v>221</v>
      </c>
      <c r="C59" s="68">
        <f>C58*(1-0.295)</f>
        <v>7.0500000000000007E-2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2:22">
      <c r="B60" s="3" t="s">
        <v>222</v>
      </c>
      <c r="C60" s="68">
        <v>0.04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2:22">
      <c r="B61" s="3" t="s">
        <v>223</v>
      </c>
      <c r="C61" s="390">
        <v>1.2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2:22">
      <c r="B62" s="3" t="s">
        <v>224</v>
      </c>
      <c r="C62" s="68">
        <f>C56+C60*C61</f>
        <v>0.113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2:22">
      <c r="B63" s="3" t="s">
        <v>225</v>
      </c>
      <c r="C63" s="69">
        <v>0.3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2:22">
      <c r="B64" s="3" t="s">
        <v>126</v>
      </c>
      <c r="C64" s="112">
        <f>C63*C59+(1-C63)*C62</f>
        <v>0.10025000000000001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2:1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2:15">
      <c r="B66" s="3" t="s">
        <v>127</v>
      </c>
      <c r="C66" s="87">
        <f>NPV(C64,J53:U53)</f>
        <v>445913.32415686565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2:15">
      <c r="B67" s="3" t="s">
        <v>128</v>
      </c>
      <c r="C67" s="456">
        <f>1/(C64-C68)</f>
        <v>11.080332409972298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2:15">
      <c r="B68" s="3" t="s">
        <v>129</v>
      </c>
      <c r="C68" s="398">
        <v>0.01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2:15">
      <c r="B69" s="3" t="s">
        <v>130</v>
      </c>
      <c r="C69" s="87">
        <f>C67*U53</f>
        <v>907047.11594679567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2:15">
      <c r="B70" s="3" t="s">
        <v>131</v>
      </c>
      <c r="C70" s="87">
        <f>C69/(1+C64)^12</f>
        <v>288226.10971386114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2:15">
      <c r="B71" s="95" t="s">
        <v>2570</v>
      </c>
      <c r="C71" s="467">
        <f>C66+C70</f>
        <v>734139.43387072673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2:15">
      <c r="B72" s="95" t="s">
        <v>2577</v>
      </c>
      <c r="C72" s="467">
        <f>C71/Master!J175</f>
        <v>789.14267856683523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2"/>
  <sheetViews>
    <sheetView topLeftCell="A5" zoomScale="69" zoomScaleNormal="72" workbookViewId="0">
      <selection activeCell="S15" sqref="S15"/>
    </sheetView>
  </sheetViews>
  <sheetFormatPr defaultRowHeight="14.4" outlineLevelRow="1"/>
  <cols>
    <col min="1" max="1" width="30" bestFit="1" customWidth="1"/>
    <col min="2" max="2" width="9.26171875" bestFit="1" customWidth="1"/>
    <col min="3" max="4" width="9" customWidth="1"/>
    <col min="5" max="6" width="10.41796875" bestFit="1" customWidth="1"/>
    <col min="7" max="7" width="10.83984375" customWidth="1"/>
    <col min="8" max="9" width="10.41796875" bestFit="1" customWidth="1"/>
    <col min="10" max="10" width="10.26171875" customWidth="1"/>
    <col min="11" max="12" width="10.83984375" bestFit="1" customWidth="1"/>
    <col min="13" max="14" width="10.41796875" bestFit="1" customWidth="1"/>
    <col min="15" max="15" width="10.83984375" bestFit="1" customWidth="1"/>
    <col min="16" max="16" width="10.41796875" bestFit="1" customWidth="1"/>
    <col min="17" max="22" width="10.83984375" bestFit="1" customWidth="1"/>
    <col min="23" max="23" width="9.26171875" bestFit="1" customWidth="1"/>
  </cols>
  <sheetData>
    <row r="1" spans="1:22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22">
      <c r="A2" s="119" t="s">
        <v>256</v>
      </c>
      <c r="B2" s="140">
        <v>3090</v>
      </c>
      <c r="C2" s="133"/>
      <c r="D2" s="119"/>
      <c r="E2" s="119"/>
      <c r="F2" s="119"/>
      <c r="G2" s="119"/>
      <c r="H2" s="120"/>
      <c r="I2" s="120"/>
      <c r="J2" s="119"/>
      <c r="K2" s="119"/>
      <c r="L2" s="119"/>
      <c r="M2" s="119"/>
      <c r="N2" s="119"/>
      <c r="O2" s="119"/>
      <c r="P2" s="356"/>
    </row>
    <row r="3" spans="1:22">
      <c r="A3" s="121"/>
      <c r="B3" s="122"/>
      <c r="C3" s="123"/>
      <c r="D3" s="122">
        <v>2008</v>
      </c>
      <c r="E3" s="122">
        <v>2009</v>
      </c>
      <c r="F3" s="122">
        <f t="shared" ref="F3:K3" si="0">E3+1</f>
        <v>2010</v>
      </c>
      <c r="G3" s="122">
        <f t="shared" si="0"/>
        <v>2011</v>
      </c>
      <c r="H3" s="122">
        <f t="shared" si="0"/>
        <v>2012</v>
      </c>
      <c r="I3" s="122">
        <f t="shared" si="0"/>
        <v>2013</v>
      </c>
      <c r="J3" s="122">
        <f t="shared" si="0"/>
        <v>2014</v>
      </c>
      <c r="K3" s="122">
        <f t="shared" si="0"/>
        <v>2015</v>
      </c>
      <c r="L3" s="122">
        <f t="shared" ref="L3:V3" si="1">K3+1</f>
        <v>2016</v>
      </c>
      <c r="M3" s="122">
        <f t="shared" si="1"/>
        <v>2017</v>
      </c>
      <c r="N3" s="122">
        <f t="shared" si="1"/>
        <v>2018</v>
      </c>
      <c r="O3" s="122">
        <f t="shared" si="1"/>
        <v>2019</v>
      </c>
      <c r="P3" s="122">
        <f t="shared" si="1"/>
        <v>2020</v>
      </c>
      <c r="Q3" s="122">
        <f t="shared" si="1"/>
        <v>2021</v>
      </c>
      <c r="R3" s="122">
        <f t="shared" si="1"/>
        <v>2022</v>
      </c>
      <c r="S3" s="122">
        <f t="shared" si="1"/>
        <v>2023</v>
      </c>
      <c r="T3" s="122">
        <f t="shared" si="1"/>
        <v>2024</v>
      </c>
      <c r="U3" s="122">
        <f t="shared" si="1"/>
        <v>2025</v>
      </c>
      <c r="V3" s="122">
        <f t="shared" si="1"/>
        <v>2026</v>
      </c>
    </row>
    <row r="4" spans="1:22">
      <c r="A4" s="119" t="s">
        <v>257</v>
      </c>
      <c r="B4" s="124"/>
      <c r="C4" s="125"/>
      <c r="D4" s="125"/>
      <c r="E4" s="125">
        <f>'Master old'!K329</f>
        <v>236.5</v>
      </c>
      <c r="F4" s="125">
        <f>'Master old'!L329</f>
        <v>236.5</v>
      </c>
      <c r="G4" s="125">
        <f>'Master old'!M329</f>
        <v>236.5</v>
      </c>
      <c r="H4" s="125">
        <f>'Master old'!N329</f>
        <v>236.5</v>
      </c>
      <c r="I4" s="125">
        <f>'Master old'!O329</f>
        <v>236.5</v>
      </c>
      <c r="J4" s="125">
        <f>'Master old'!P329</f>
        <v>236.5</v>
      </c>
      <c r="K4" s="125">
        <f>'Master old'!Q329</f>
        <v>236.5</v>
      </c>
      <c r="L4" s="125">
        <f>'Master old'!R329</f>
        <v>300.157625</v>
      </c>
      <c r="M4" s="125">
        <f>'Master old'!S329</f>
        <v>300.157625</v>
      </c>
      <c r="N4" s="125">
        <f>'Master old'!T329</f>
        <v>300.157625</v>
      </c>
      <c r="O4" s="125">
        <f>Master!E81</f>
        <v>300</v>
      </c>
      <c r="P4" s="125">
        <f>Master!F81</f>
        <v>300</v>
      </c>
      <c r="Q4" s="125">
        <f>Master!G81</f>
        <v>300</v>
      </c>
      <c r="R4" s="125">
        <f>Master!H81</f>
        <v>302.01711299999999</v>
      </c>
      <c r="S4" s="125">
        <f>Master!I81</f>
        <v>302.01711299999999</v>
      </c>
      <c r="T4" s="125">
        <f>Master!J81</f>
        <v>302.01711299999999</v>
      </c>
      <c r="U4" s="125">
        <f>Master!K81</f>
        <v>302.01711299999999</v>
      </c>
      <c r="V4" s="125">
        <f>Master!L81</f>
        <v>302.01711299999999</v>
      </c>
    </row>
    <row r="5" spans="1:22">
      <c r="A5" s="119"/>
      <c r="B5" s="124"/>
      <c r="C5" s="119"/>
      <c r="D5" s="125"/>
      <c r="E5" s="127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</row>
    <row r="6" spans="1:22">
      <c r="A6" s="128" t="s">
        <v>595</v>
      </c>
      <c r="B6" s="124"/>
      <c r="C6" s="119"/>
      <c r="D6" s="129"/>
      <c r="E6" s="125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5"/>
      <c r="Q6" s="119"/>
      <c r="R6" s="119"/>
      <c r="S6" s="119"/>
      <c r="T6" s="119"/>
      <c r="U6" s="119"/>
      <c r="V6" s="119"/>
    </row>
    <row r="7" spans="1:22">
      <c r="A7" s="119" t="s">
        <v>596</v>
      </c>
      <c r="B7" s="124"/>
      <c r="C7" s="119"/>
      <c r="D7" s="129"/>
      <c r="E7" s="125">
        <f>E8/'Master old'!K52</f>
        <v>1307.3076923076924</v>
      </c>
      <c r="F7" s="125">
        <f>F8/'Master old'!L52</f>
        <v>1432.9117647058824</v>
      </c>
      <c r="G7" s="125">
        <f>G8/'Master old'!M52</f>
        <v>1509.8863636363637</v>
      </c>
      <c r="H7" s="125">
        <f>H8/'Master old'!N52</f>
        <v>1503.6728395061727</v>
      </c>
      <c r="I7" s="125">
        <f>I8/'Master old'!O52</f>
        <v>1476.3333333333333</v>
      </c>
      <c r="J7" s="125">
        <f>J8/'Master old'!P52</f>
        <v>1279.8336252189142</v>
      </c>
      <c r="K7" s="125">
        <f>K8/'Master old'!Q52</f>
        <v>1112.3059360730595</v>
      </c>
      <c r="L7" s="125">
        <f>L8/'Master old'!R52</f>
        <v>1372.0222799556213</v>
      </c>
      <c r="M7" s="125">
        <f>M8/'Master old'!S52</f>
        <v>1429.1017892912173</v>
      </c>
      <c r="N7" s="125">
        <f>N8/Master!D175</f>
        <v>1444.6838960280375</v>
      </c>
      <c r="O7" s="125">
        <f>O8/Master!E175</f>
        <v>1318.6344238975819</v>
      </c>
      <c r="P7" s="125">
        <f>P8/Master!F175</f>
        <v>1170.4545454545455</v>
      </c>
      <c r="Q7" s="125">
        <f>Q8/Master!G175</f>
        <v>1218.1340341655716</v>
      </c>
      <c r="R7" s="125">
        <f>R8/Master!H175</f>
        <v>1068.9952796907216</v>
      </c>
      <c r="S7" s="125">
        <f>S8/Master!I175</f>
        <v>1110.9915228214286</v>
      </c>
      <c r="T7" s="125">
        <f>T8/Master!J175</f>
        <v>1003.1526165430506</v>
      </c>
      <c r="U7" s="125">
        <f>U8/Master!K175</f>
        <v>983.48295739514765</v>
      </c>
      <c r="V7" s="125">
        <f>V8/Master!L175</f>
        <v>964.19897783838007</v>
      </c>
    </row>
    <row r="8" spans="1:22">
      <c r="A8" s="119" t="s">
        <v>232</v>
      </c>
      <c r="B8" s="125"/>
      <c r="C8" s="125"/>
      <c r="D8" s="125"/>
      <c r="E8" s="125">
        <f>$B$2*E4</f>
        <v>730785</v>
      </c>
      <c r="F8" s="125">
        <f>$B$2*F4</f>
        <v>730785</v>
      </c>
      <c r="G8" s="125">
        <f t="shared" ref="G8:N8" si="2">$B$2*G4</f>
        <v>730785</v>
      </c>
      <c r="H8" s="125">
        <f t="shared" si="2"/>
        <v>730785</v>
      </c>
      <c r="I8" s="125">
        <f t="shared" si="2"/>
        <v>730785</v>
      </c>
      <c r="J8" s="125">
        <f t="shared" si="2"/>
        <v>730785</v>
      </c>
      <c r="K8" s="125">
        <f t="shared" si="2"/>
        <v>730785</v>
      </c>
      <c r="L8" s="125">
        <f t="shared" si="2"/>
        <v>927487.06125000003</v>
      </c>
      <c r="M8" s="125">
        <f t="shared" si="2"/>
        <v>927487.06125000003</v>
      </c>
      <c r="N8" s="125">
        <f t="shared" si="2"/>
        <v>927487.06125000003</v>
      </c>
      <c r="O8" s="125">
        <f t="shared" ref="O8:U8" si="3">$B$2*O4</f>
        <v>927000</v>
      </c>
      <c r="P8" s="125">
        <f t="shared" si="3"/>
        <v>927000</v>
      </c>
      <c r="Q8" s="125">
        <f t="shared" si="3"/>
        <v>927000</v>
      </c>
      <c r="R8" s="125">
        <f t="shared" si="3"/>
        <v>933232.87916999997</v>
      </c>
      <c r="S8" s="125">
        <f t="shared" si="3"/>
        <v>933232.87916999997</v>
      </c>
      <c r="T8" s="125">
        <f t="shared" si="3"/>
        <v>933232.87916999997</v>
      </c>
      <c r="U8" s="125">
        <f t="shared" si="3"/>
        <v>933232.87916999997</v>
      </c>
      <c r="V8" s="125">
        <f t="shared" ref="V8" si="4">$B$2*V4</f>
        <v>933232.87916999997</v>
      </c>
    </row>
    <row r="9" spans="1:22" outlineLevel="1">
      <c r="A9" s="119" t="s">
        <v>233</v>
      </c>
      <c r="B9" s="125"/>
      <c r="C9" s="125"/>
      <c r="D9" s="125"/>
      <c r="E9" s="125">
        <f t="shared" ref="E9:N9" si="5">F9</f>
        <v>0</v>
      </c>
      <c r="F9" s="125">
        <f t="shared" si="5"/>
        <v>0</v>
      </c>
      <c r="G9" s="125">
        <f t="shared" si="5"/>
        <v>0</v>
      </c>
      <c r="H9" s="125">
        <f t="shared" si="5"/>
        <v>0</v>
      </c>
      <c r="I9" s="125">
        <f t="shared" si="5"/>
        <v>0</v>
      </c>
      <c r="J9" s="125">
        <f t="shared" si="5"/>
        <v>0</v>
      </c>
      <c r="K9" s="125">
        <f t="shared" si="5"/>
        <v>0</v>
      </c>
      <c r="L9" s="125">
        <f t="shared" si="5"/>
        <v>0</v>
      </c>
      <c r="M9" s="125">
        <f t="shared" si="5"/>
        <v>0</v>
      </c>
      <c r="N9" s="125">
        <f t="shared" si="5"/>
        <v>0</v>
      </c>
      <c r="O9" s="125">
        <f>P9</f>
        <v>0</v>
      </c>
      <c r="P9" s="126">
        <f>-$B$58</f>
        <v>0</v>
      </c>
      <c r="Q9" s="125">
        <f t="shared" ref="Q9:V11" si="6">P9</f>
        <v>0</v>
      </c>
      <c r="R9" s="125">
        <f t="shared" si="6"/>
        <v>0</v>
      </c>
      <c r="S9" s="125">
        <f t="shared" si="6"/>
        <v>0</v>
      </c>
      <c r="T9" s="125">
        <f t="shared" si="6"/>
        <v>0</v>
      </c>
      <c r="U9" s="125">
        <f t="shared" si="6"/>
        <v>0</v>
      </c>
      <c r="V9" s="125">
        <f t="shared" si="6"/>
        <v>0</v>
      </c>
    </row>
    <row r="10" spans="1:22" outlineLevel="1">
      <c r="A10" s="119" t="s">
        <v>234</v>
      </c>
      <c r="B10" s="124"/>
      <c r="C10" s="125"/>
      <c r="D10" s="125"/>
      <c r="E10" s="125">
        <f t="shared" ref="E10:N10" si="7">F10</f>
        <v>279090</v>
      </c>
      <c r="F10" s="125">
        <f t="shared" si="7"/>
        <v>279090</v>
      </c>
      <c r="G10" s="125">
        <f t="shared" si="7"/>
        <v>279090</v>
      </c>
      <c r="H10" s="125">
        <f t="shared" si="7"/>
        <v>279090</v>
      </c>
      <c r="I10" s="125">
        <f t="shared" si="7"/>
        <v>279090</v>
      </c>
      <c r="J10" s="125">
        <f t="shared" si="7"/>
        <v>279090</v>
      </c>
      <c r="K10" s="125">
        <f t="shared" si="7"/>
        <v>279090</v>
      </c>
      <c r="L10" s="125">
        <f t="shared" si="7"/>
        <v>279090</v>
      </c>
      <c r="M10" s="125">
        <f t="shared" si="7"/>
        <v>279090</v>
      </c>
      <c r="N10" s="125">
        <f t="shared" si="7"/>
        <v>279090</v>
      </c>
      <c r="O10" s="125">
        <f>P10</f>
        <v>279090</v>
      </c>
      <c r="P10" s="126">
        <f>SOP!F9</f>
        <v>279090</v>
      </c>
      <c r="Q10" s="125">
        <f t="shared" si="6"/>
        <v>279090</v>
      </c>
      <c r="R10" s="125">
        <f t="shared" si="6"/>
        <v>279090</v>
      </c>
      <c r="S10" s="125">
        <f t="shared" si="6"/>
        <v>279090</v>
      </c>
      <c r="T10" s="125">
        <f t="shared" si="6"/>
        <v>279090</v>
      </c>
      <c r="U10" s="125">
        <f t="shared" si="6"/>
        <v>279090</v>
      </c>
      <c r="V10" s="125">
        <f t="shared" si="6"/>
        <v>279090</v>
      </c>
    </row>
    <row r="11" spans="1:22" outlineLevel="1">
      <c r="A11" s="119" t="s">
        <v>235</v>
      </c>
      <c r="B11" s="125"/>
      <c r="C11" s="125"/>
      <c r="D11" s="125"/>
      <c r="E11" s="125">
        <f t="shared" ref="E11:N11" si="8">F11</f>
        <v>0</v>
      </c>
      <c r="F11" s="125">
        <f t="shared" si="8"/>
        <v>0</v>
      </c>
      <c r="G11" s="125">
        <f t="shared" si="8"/>
        <v>0</v>
      </c>
      <c r="H11" s="125">
        <f t="shared" si="8"/>
        <v>0</v>
      </c>
      <c r="I11" s="125">
        <f t="shared" si="8"/>
        <v>0</v>
      </c>
      <c r="J11" s="125">
        <f t="shared" si="8"/>
        <v>0</v>
      </c>
      <c r="K11" s="125">
        <f t="shared" si="8"/>
        <v>0</v>
      </c>
      <c r="L11" s="125">
        <f t="shared" si="8"/>
        <v>0</v>
      </c>
      <c r="M11" s="125">
        <f t="shared" si="8"/>
        <v>0</v>
      </c>
      <c r="N11" s="125">
        <f t="shared" si="8"/>
        <v>0</v>
      </c>
      <c r="O11" s="125">
        <f>P11</f>
        <v>0</v>
      </c>
      <c r="P11" s="126">
        <v>0</v>
      </c>
      <c r="Q11" s="125">
        <f t="shared" si="6"/>
        <v>0</v>
      </c>
      <c r="R11" s="125">
        <f t="shared" si="6"/>
        <v>0</v>
      </c>
      <c r="S11" s="125">
        <f t="shared" si="6"/>
        <v>0</v>
      </c>
      <c r="T11" s="125">
        <f t="shared" si="6"/>
        <v>0</v>
      </c>
      <c r="U11" s="125">
        <f t="shared" si="6"/>
        <v>0</v>
      </c>
      <c r="V11" s="125">
        <f t="shared" si="6"/>
        <v>0</v>
      </c>
    </row>
    <row r="12" spans="1:22" outlineLevel="1">
      <c r="A12" s="119" t="s">
        <v>236</v>
      </c>
      <c r="B12" s="125"/>
      <c r="C12" s="125"/>
      <c r="D12" s="125"/>
      <c r="E12" s="125">
        <f t="shared" ref="E12:O12" si="9">F12</f>
        <v>0</v>
      </c>
      <c r="F12" s="125">
        <f t="shared" si="9"/>
        <v>0</v>
      </c>
      <c r="G12" s="125">
        <f t="shared" si="9"/>
        <v>0</v>
      </c>
      <c r="H12" s="125">
        <f t="shared" si="9"/>
        <v>0</v>
      </c>
      <c r="I12" s="125">
        <f t="shared" si="9"/>
        <v>0</v>
      </c>
      <c r="J12" s="125">
        <f t="shared" si="9"/>
        <v>0</v>
      </c>
      <c r="K12" s="125">
        <f t="shared" si="9"/>
        <v>0</v>
      </c>
      <c r="L12" s="125">
        <f t="shared" si="9"/>
        <v>0</v>
      </c>
      <c r="M12" s="125">
        <f t="shared" si="9"/>
        <v>0</v>
      </c>
      <c r="N12" s="125">
        <f t="shared" si="9"/>
        <v>0</v>
      </c>
      <c r="O12" s="125">
        <f t="shared" si="9"/>
        <v>0</v>
      </c>
      <c r="P12" s="126">
        <v>0</v>
      </c>
      <c r="Q12" s="125">
        <f t="shared" ref="Q12" si="10">P12</f>
        <v>0</v>
      </c>
      <c r="R12" s="125">
        <f t="shared" ref="R12" si="11">Q12</f>
        <v>0</v>
      </c>
      <c r="S12" s="125">
        <f t="shared" ref="S12" si="12">R12</f>
        <v>0</v>
      </c>
      <c r="T12" s="125">
        <f t="shared" ref="T12" si="13">S12</f>
        <v>0</v>
      </c>
      <c r="U12" s="125">
        <f t="shared" ref="U12:V12" si="14">T12</f>
        <v>0</v>
      </c>
      <c r="V12" s="125">
        <f t="shared" si="14"/>
        <v>0</v>
      </c>
    </row>
    <row r="13" spans="1:22">
      <c r="A13" s="119" t="s">
        <v>2902</v>
      </c>
      <c r="B13" s="125"/>
      <c r="C13" s="125"/>
      <c r="D13" s="125"/>
      <c r="E13" s="125">
        <f>'Master old'!K323</f>
        <v>341600</v>
      </c>
      <c r="F13" s="125">
        <f>'Master old'!L323</f>
        <v>282700</v>
      </c>
      <c r="G13" s="125">
        <f>'Master old'!M323</f>
        <v>337816</v>
      </c>
      <c r="H13" s="125">
        <f>'Master old'!N323</f>
        <v>374652</v>
      </c>
      <c r="I13" s="125">
        <f>'Master old'!O323</f>
        <v>801000</v>
      </c>
      <c r="J13" s="125">
        <f>'Master old'!P323</f>
        <v>954328</v>
      </c>
      <c r="K13" s="125">
        <f>'Master old'!Q323</f>
        <v>1267873</v>
      </c>
      <c r="L13" s="125">
        <f>'Master old'!R323</f>
        <v>1374100</v>
      </c>
      <c r="M13" s="125">
        <f>'Master old'!S323</f>
        <v>1443171</v>
      </c>
      <c r="N13" s="125">
        <f>'Master old'!T323</f>
        <v>1638065</v>
      </c>
      <c r="O13" s="125">
        <f>Master!E101</f>
        <v>1211178</v>
      </c>
      <c r="P13" s="125">
        <f>Master!F101</f>
        <v>1156904</v>
      </c>
      <c r="Q13" s="125">
        <f>Master!G101</f>
        <v>1299800</v>
      </c>
      <c r="R13" s="125">
        <f>Master!H101</f>
        <v>1598400</v>
      </c>
      <c r="S13" s="125">
        <f>Master!I101</f>
        <v>1148000</v>
      </c>
      <c r="T13" s="125">
        <f>Master!J101</f>
        <v>1278773.3372754243</v>
      </c>
      <c r="U13" s="125">
        <f>Master!K101</f>
        <v>1380156.2026382182</v>
      </c>
      <c r="V13" s="125">
        <f>Master!L101</f>
        <v>1427009.0375647682</v>
      </c>
    </row>
    <row r="14" spans="1:22">
      <c r="A14" s="130" t="s">
        <v>237</v>
      </c>
      <c r="B14" s="131"/>
      <c r="C14" s="131"/>
      <c r="D14" s="131"/>
      <c r="E14" s="131">
        <v>0</v>
      </c>
      <c r="F14" s="131">
        <v>0</v>
      </c>
      <c r="G14" s="131">
        <v>0</v>
      </c>
      <c r="H14" s="131">
        <v>0</v>
      </c>
      <c r="I14" s="131">
        <v>0</v>
      </c>
      <c r="J14" s="131">
        <v>0</v>
      </c>
      <c r="K14" s="131">
        <v>0</v>
      </c>
      <c r="L14" s="131">
        <f>-'Master old'!R309+K14</f>
        <v>0</v>
      </c>
      <c r="M14" s="131">
        <v>0</v>
      </c>
      <c r="N14" s="131">
        <v>0</v>
      </c>
      <c r="O14" s="131">
        <v>0</v>
      </c>
      <c r="P14" s="131">
        <v>0</v>
      </c>
      <c r="Q14" s="131">
        <v>0</v>
      </c>
      <c r="R14" s="131">
        <f>SOP!F13*SOP!F11</f>
        <v>0</v>
      </c>
      <c r="S14" s="131">
        <f>SOP!G13*SOP!G11</f>
        <v>0</v>
      </c>
      <c r="T14" s="131">
        <f>-Master!J95+S14</f>
        <v>-45302.56695</v>
      </c>
      <c r="U14" s="131">
        <f>-Master!K95+T14</f>
        <v>-95135.390595000004</v>
      </c>
      <c r="V14" s="131">
        <f>-Master!L95+U14</f>
        <v>-149951.49660450002</v>
      </c>
    </row>
    <row r="15" spans="1:22">
      <c r="A15" s="119" t="s">
        <v>238</v>
      </c>
      <c r="B15" s="125"/>
      <c r="C15" s="125"/>
      <c r="D15" s="125"/>
      <c r="E15" s="125">
        <f t="shared" ref="E15:N15" si="15">SUM(E8:E14)</f>
        <v>1351475</v>
      </c>
      <c r="F15" s="125">
        <f t="shared" si="15"/>
        <v>1292575</v>
      </c>
      <c r="G15" s="125">
        <f>SUM(G8:G14)</f>
        <v>1347691</v>
      </c>
      <c r="H15" s="125">
        <f t="shared" si="15"/>
        <v>1384527</v>
      </c>
      <c r="I15" s="125">
        <f t="shared" si="15"/>
        <v>1810875</v>
      </c>
      <c r="J15" s="125">
        <f t="shared" si="15"/>
        <v>1964203</v>
      </c>
      <c r="K15" s="125">
        <f t="shared" si="15"/>
        <v>2277748</v>
      </c>
      <c r="L15" s="125">
        <f t="shared" si="15"/>
        <v>2580677.0612500003</v>
      </c>
      <c r="M15" s="125">
        <f t="shared" si="15"/>
        <v>2649748.0612500003</v>
      </c>
      <c r="N15" s="125">
        <f t="shared" si="15"/>
        <v>2844642.0612500003</v>
      </c>
      <c r="O15" s="125">
        <f t="shared" ref="O15:U15" si="16">SUM(O8:O14)</f>
        <v>2417268</v>
      </c>
      <c r="P15" s="125">
        <f t="shared" si="16"/>
        <v>2362994</v>
      </c>
      <c r="Q15" s="125">
        <f t="shared" si="16"/>
        <v>2505890</v>
      </c>
      <c r="R15" s="125">
        <f t="shared" si="16"/>
        <v>2810722.8791700001</v>
      </c>
      <c r="S15" s="125">
        <f t="shared" si="16"/>
        <v>2360322.8791700001</v>
      </c>
      <c r="T15" s="125">
        <f t="shared" si="16"/>
        <v>2445793.6494954247</v>
      </c>
      <c r="U15" s="125">
        <f t="shared" si="16"/>
        <v>2497343.6912132185</v>
      </c>
      <c r="V15" s="125">
        <f t="shared" ref="V15" si="17">SUM(V8:V14)</f>
        <v>2489380.4201302682</v>
      </c>
    </row>
    <row r="16" spans="1:22">
      <c r="A16" s="119" t="s">
        <v>2711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>
        <f>O8+Master!E106</f>
        <v>2640067</v>
      </c>
      <c r="P16" s="125">
        <f>P8+Master!F106</f>
        <v>2588131</v>
      </c>
      <c r="Q16" s="125">
        <f>Q8+Master!G106</f>
        <v>2818300</v>
      </c>
      <c r="R16" s="125">
        <f>R8+Master!H106</f>
        <v>2844432.8791700001</v>
      </c>
      <c r="S16" s="125">
        <f>S8+Master!I106</f>
        <v>2674025.8791700001</v>
      </c>
      <c r="T16" s="125">
        <f>T8+Master!J106</f>
        <v>2804889.1874454245</v>
      </c>
      <c r="U16" s="125">
        <f>U8+Master!K106</f>
        <v>2906272.0528082182</v>
      </c>
      <c r="V16" s="125">
        <f>V8+Master!L106</f>
        <v>2953124.8877347684</v>
      </c>
    </row>
    <row r="17" spans="1:22">
      <c r="A17" s="119"/>
      <c r="B17" s="125" t="s">
        <v>38</v>
      </c>
      <c r="C17" s="125"/>
      <c r="D17" s="120"/>
      <c r="E17" s="120"/>
      <c r="F17" s="120"/>
      <c r="G17" s="120"/>
      <c r="H17" s="120"/>
      <c r="I17" s="120"/>
      <c r="J17" s="120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>
      <c r="A18" s="128" t="s">
        <v>101</v>
      </c>
      <c r="B18" s="125"/>
      <c r="C18" s="125"/>
      <c r="D18" s="120"/>
      <c r="E18" s="120"/>
      <c r="F18" s="132"/>
      <c r="G18" s="120"/>
      <c r="H18" s="129"/>
      <c r="I18" s="125"/>
      <c r="J18" s="12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</row>
    <row r="19" spans="1:22">
      <c r="A19" s="119" t="s">
        <v>2712</v>
      </c>
      <c r="B19" s="125"/>
      <c r="C19" s="125"/>
      <c r="D19" s="125"/>
      <c r="E19" s="125">
        <f>'Master old'!K233</f>
        <v>401358</v>
      </c>
      <c r="F19" s="125">
        <f>'Master old'!L233</f>
        <v>446429</v>
      </c>
      <c r="G19" s="125">
        <f>'Master old'!M233</f>
        <v>515199</v>
      </c>
      <c r="H19" s="125">
        <f>'Master old'!N233</f>
        <v>542625</v>
      </c>
      <c r="I19" s="125">
        <f>'Master old'!O233</f>
        <v>461938</v>
      </c>
      <c r="J19" s="125">
        <f>'Master old'!P233</f>
        <v>366150</v>
      </c>
      <c r="K19" s="125">
        <f>'Master old'!Q233</f>
        <v>364786</v>
      </c>
      <c r="L19" s="125">
        <f>'Master old'!R233</f>
        <v>416281</v>
      </c>
      <c r="M19" s="125">
        <f>'Master old'!S233</f>
        <v>440103</v>
      </c>
      <c r="N19" s="125">
        <f>'Master old'!T233</f>
        <v>426921</v>
      </c>
      <c r="O19" s="125">
        <f>Master!E29</f>
        <v>490266</v>
      </c>
      <c r="P19" s="125">
        <f>Master!F29</f>
        <v>531670</v>
      </c>
      <c r="Q19" s="125">
        <f>Master!G29</f>
        <v>640553</v>
      </c>
      <c r="R19" s="125">
        <f>Master!H29</f>
        <v>613742</v>
      </c>
      <c r="S19" s="125">
        <f>Master!I29</f>
        <v>607782</v>
      </c>
      <c r="T19" s="125">
        <f>Master!J29</f>
        <v>601716.53600802075</v>
      </c>
      <c r="U19" s="125">
        <f>Master!K29</f>
        <v>628644.20559765189</v>
      </c>
      <c r="V19" s="125">
        <f>Master!L29</f>
        <v>662912.3268669243</v>
      </c>
    </row>
    <row r="20" spans="1:22">
      <c r="A20" s="119" t="s">
        <v>240</v>
      </c>
      <c r="B20" s="125"/>
      <c r="C20" s="125"/>
      <c r="D20" s="125"/>
      <c r="E20" s="125">
        <f>-'Master old'!K251-'Master old'!K254</f>
        <v>-261027</v>
      </c>
      <c r="F20" s="125">
        <f>-'Master old'!L251-'Master old'!L254</f>
        <v>-290741</v>
      </c>
      <c r="G20" s="125">
        <f>-'Master old'!M251-'Master old'!M254</f>
        <v>-358426</v>
      </c>
      <c r="H20" s="125">
        <f>-'Master old'!N251-'Master old'!N254</f>
        <v>-380925</v>
      </c>
      <c r="I20" s="125">
        <f>-'Master old'!O251-'Master old'!O254</f>
        <v>-366125.52045454551</v>
      </c>
      <c r="J20" s="125">
        <f>-'Master old'!P251-'Master old'!P254</f>
        <v>-513920</v>
      </c>
      <c r="K20" s="125">
        <f>-'Master old'!Q251-'Master old'!Q254</f>
        <v>-433263</v>
      </c>
      <c r="L20" s="125">
        <f>-'Master old'!R251-'Master old'!R254</f>
        <v>-360499</v>
      </c>
      <c r="M20" s="125">
        <f>-'Master old'!S251-'Master old'!S254</f>
        <v>-387011</v>
      </c>
      <c r="N20" s="125">
        <f>-'Master old'!T251-'Master old'!T254</f>
        <v>-432021</v>
      </c>
      <c r="O20" s="125">
        <f>-Master!E39</f>
        <v>-408600</v>
      </c>
      <c r="P20" s="125">
        <f>-Master!F39</f>
        <v>-370028</v>
      </c>
      <c r="Q20" s="125">
        <f>-Master!G39</f>
        <v>-445467</v>
      </c>
      <c r="R20" s="125">
        <f>-Master!H39</f>
        <v>-515266</v>
      </c>
      <c r="S20" s="125">
        <f>-Master!I39</f>
        <v>-476242</v>
      </c>
      <c r="T20" s="125">
        <f>-Master!J39</f>
        <v>-534922.5</v>
      </c>
      <c r="U20" s="125">
        <f>-Master!K39</f>
        <v>-521898.29999999993</v>
      </c>
      <c r="V20" s="125">
        <f>-Master!L39</f>
        <v>-483942.06</v>
      </c>
    </row>
    <row r="21" spans="1:22">
      <c r="A21" s="119" t="s">
        <v>241</v>
      </c>
      <c r="B21" s="125"/>
      <c r="C21" s="125"/>
      <c r="D21" s="125"/>
      <c r="E21" s="125">
        <f>-'Master old'!K293</f>
        <v>-10184</v>
      </c>
      <c r="F21" s="125">
        <f>-'Master old'!L293</f>
        <v>-8931</v>
      </c>
      <c r="G21" s="125">
        <f>-'Master old'!M293</f>
        <v>-18901</v>
      </c>
      <c r="H21" s="125">
        <f>-'Master old'!N293</f>
        <v>-22944</v>
      </c>
      <c r="I21" s="125">
        <f>-'Master old'!O293</f>
        <v>-41420</v>
      </c>
      <c r="J21" s="125">
        <f>-'Master old'!P293</f>
        <v>-78313</v>
      </c>
      <c r="K21" s="125">
        <f>-'Master old'!Q293</f>
        <v>-94727</v>
      </c>
      <c r="L21" s="125">
        <f>-'Master old'!R293</f>
        <v>-108256</v>
      </c>
      <c r="M21" s="125">
        <f>-'Master old'!S293</f>
        <v>-91223</v>
      </c>
      <c r="N21" s="125">
        <f>-'Master old'!T293</f>
        <v>-93184</v>
      </c>
      <c r="O21" s="125">
        <f>-Master!E69</f>
        <v>-103707</v>
      </c>
      <c r="P21" s="125">
        <f>-Master!F69</f>
        <v>-118515</v>
      </c>
      <c r="Q21" s="125">
        <f>-Master!G69</f>
        <v>-175744</v>
      </c>
      <c r="R21" s="125">
        <f>-Master!H69</f>
        <v>-217857</v>
      </c>
      <c r="S21" s="125">
        <f>-Master!I69</f>
        <v>-128975</v>
      </c>
      <c r="T21" s="125">
        <f>-Master!J69</f>
        <v>-114800</v>
      </c>
      <c r="U21" s="125">
        <f>-Master!K69</f>
        <v>-115089.60035478818</v>
      </c>
      <c r="V21" s="125">
        <f>-Master!L69</f>
        <v>-110412.49621105746</v>
      </c>
    </row>
    <row r="22" spans="1:22">
      <c r="A22" s="119" t="s">
        <v>242</v>
      </c>
      <c r="B22" s="125"/>
      <c r="C22" s="125"/>
      <c r="D22" s="125"/>
      <c r="E22" s="125">
        <f>-'Master old'!K298</f>
        <v>-28790</v>
      </c>
      <c r="F22" s="125">
        <f>-'Master old'!L298</f>
        <v>-24598</v>
      </c>
      <c r="G22" s="125">
        <f>-'Master old'!M298</f>
        <v>-38560</v>
      </c>
      <c r="H22" s="125">
        <f>-'Master old'!N298</f>
        <v>-31342</v>
      </c>
      <c r="I22" s="125">
        <f>-'Master old'!O298</f>
        <v>-29952</v>
      </c>
      <c r="J22" s="125">
        <f>-'Master old'!P298</f>
        <v>8015</v>
      </c>
      <c r="K22" s="125">
        <f>-'Master old'!Q298</f>
        <v>12781</v>
      </c>
      <c r="L22" s="125">
        <f>-'Master old'!R298</f>
        <v>28018</v>
      </c>
      <c r="M22" s="125">
        <f>-'Master old'!S298</f>
        <v>17408</v>
      </c>
      <c r="N22" s="125">
        <f>-'Master old'!T298</f>
        <v>-21344</v>
      </c>
      <c r="O22" s="125">
        <f>-Master!E74</f>
        <v>-86058</v>
      </c>
      <c r="P22" s="125">
        <f>-Master!F74</f>
        <v>-9488</v>
      </c>
      <c r="Q22" s="125">
        <f>-Master!G74</f>
        <v>-43655</v>
      </c>
      <c r="R22" s="125">
        <f>-Master!H74</f>
        <v>-82964</v>
      </c>
      <c r="S22" s="125">
        <f>-Master!I74</f>
        <v>-31710</v>
      </c>
      <c r="T22" s="125">
        <f>-Master!J74</f>
        <v>-37464.806333445136</v>
      </c>
      <c r="U22" s="125">
        <f>-Master!K74</f>
        <v>-43206.346960657684</v>
      </c>
      <c r="V22" s="125">
        <f>-Master!L74</f>
        <v>-60594.499572916684</v>
      </c>
    </row>
    <row r="23" spans="1:22">
      <c r="A23" s="119" t="s">
        <v>2565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</row>
    <row r="24" spans="1:22">
      <c r="A24" s="130" t="s">
        <v>243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</row>
    <row r="25" spans="1:22">
      <c r="A25" s="119" t="s">
        <v>101</v>
      </c>
      <c r="B25" s="125"/>
      <c r="C25" s="125"/>
      <c r="D25" s="125"/>
      <c r="E25" s="125">
        <f>SUM(E19:E24)</f>
        <v>101357</v>
      </c>
      <c r="F25" s="125">
        <f>SUM(F19:F24)</f>
        <v>122159</v>
      </c>
      <c r="G25" s="125">
        <f>SUM(G19:G24)</f>
        <v>99312</v>
      </c>
      <c r="H25" s="125">
        <f t="shared" ref="H25:N25" si="18">SUM(H19:H24)</f>
        <v>107414</v>
      </c>
      <c r="I25" s="125">
        <f t="shared" si="18"/>
        <v>24440.479545454495</v>
      </c>
      <c r="J25" s="125">
        <f t="shared" si="18"/>
        <v>-218068</v>
      </c>
      <c r="K25" s="125">
        <f t="shared" si="18"/>
        <v>-150423</v>
      </c>
      <c r="L25" s="125">
        <f t="shared" si="18"/>
        <v>-24456</v>
      </c>
      <c r="M25" s="125">
        <f t="shared" si="18"/>
        <v>-20723</v>
      </c>
      <c r="N25" s="125">
        <f t="shared" si="18"/>
        <v>-119628</v>
      </c>
      <c r="O25" s="125">
        <f t="shared" ref="O25:U25" si="19">SUM(O19:O24)</f>
        <v>-108099</v>
      </c>
      <c r="P25" s="125">
        <f t="shared" si="19"/>
        <v>33639</v>
      </c>
      <c r="Q25" s="125">
        <f t="shared" si="19"/>
        <v>-24313</v>
      </c>
      <c r="R25" s="125">
        <f t="shared" si="19"/>
        <v>-202345</v>
      </c>
      <c r="S25" s="125">
        <f t="shared" si="19"/>
        <v>-29145</v>
      </c>
      <c r="T25" s="125">
        <f t="shared" si="19"/>
        <v>-85470.770325424382</v>
      </c>
      <c r="U25" s="125">
        <f t="shared" si="19"/>
        <v>-51550.041717793909</v>
      </c>
      <c r="V25" s="125">
        <f t="shared" ref="V25" si="20">SUM(V19:V24)</f>
        <v>7963.2710829501593</v>
      </c>
    </row>
    <row r="26" spans="1:22">
      <c r="A26" s="119"/>
      <c r="B26" s="125"/>
      <c r="C26" s="125"/>
      <c r="D26" s="125"/>
      <c r="E26" s="125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</row>
    <row r="27" spans="1:22">
      <c r="A27" s="119" t="s">
        <v>244</v>
      </c>
      <c r="B27" s="125"/>
      <c r="C27" s="125"/>
      <c r="D27" s="125"/>
      <c r="E27" s="125">
        <f t="shared" ref="E27:N27" si="21">E8</f>
        <v>730785</v>
      </c>
      <c r="F27" s="125">
        <f t="shared" si="21"/>
        <v>730785</v>
      </c>
      <c r="G27" s="125">
        <f t="shared" si="21"/>
        <v>730785</v>
      </c>
      <c r="H27" s="125">
        <f t="shared" si="21"/>
        <v>730785</v>
      </c>
      <c r="I27" s="125">
        <f t="shared" si="21"/>
        <v>730785</v>
      </c>
      <c r="J27" s="125">
        <f t="shared" si="21"/>
        <v>730785</v>
      </c>
      <c r="K27" s="125">
        <f t="shared" si="21"/>
        <v>730785</v>
      </c>
      <c r="L27" s="125">
        <f t="shared" si="21"/>
        <v>927487.06125000003</v>
      </c>
      <c r="M27" s="125">
        <f t="shared" si="21"/>
        <v>927487.06125000003</v>
      </c>
      <c r="N27" s="125">
        <f t="shared" si="21"/>
        <v>927487.06125000003</v>
      </c>
      <c r="O27" s="125">
        <f t="shared" ref="O27:U27" si="22">O8</f>
        <v>927000</v>
      </c>
      <c r="P27" s="125">
        <f t="shared" si="22"/>
        <v>927000</v>
      </c>
      <c r="Q27" s="125">
        <f t="shared" si="22"/>
        <v>927000</v>
      </c>
      <c r="R27" s="125">
        <f t="shared" si="22"/>
        <v>933232.87916999997</v>
      </c>
      <c r="S27" s="125">
        <f t="shared" si="22"/>
        <v>933232.87916999997</v>
      </c>
      <c r="T27" s="125">
        <f t="shared" si="22"/>
        <v>933232.87916999997</v>
      </c>
      <c r="U27" s="125">
        <f t="shared" si="22"/>
        <v>933232.87916999997</v>
      </c>
      <c r="V27" s="125">
        <f t="shared" ref="V27" si="23">V8</f>
        <v>933232.87916999997</v>
      </c>
    </row>
    <row r="28" spans="1:22">
      <c r="A28" s="119" t="s">
        <v>245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</row>
    <row r="29" spans="1:22">
      <c r="A29" s="130" t="s">
        <v>246</v>
      </c>
      <c r="B29" s="131"/>
      <c r="C29" s="131"/>
      <c r="D29" s="131"/>
      <c r="E29" s="131">
        <f t="shared" ref="E29:N29" si="24">E10+E12</f>
        <v>279090</v>
      </c>
      <c r="F29" s="131">
        <f t="shared" si="24"/>
        <v>279090</v>
      </c>
      <c r="G29" s="131">
        <f t="shared" si="24"/>
        <v>279090</v>
      </c>
      <c r="H29" s="131">
        <f t="shared" si="24"/>
        <v>279090</v>
      </c>
      <c r="I29" s="131">
        <f t="shared" si="24"/>
        <v>279090</v>
      </c>
      <c r="J29" s="131">
        <f t="shared" si="24"/>
        <v>279090</v>
      </c>
      <c r="K29" s="131">
        <f t="shared" si="24"/>
        <v>279090</v>
      </c>
      <c r="L29" s="131">
        <f t="shared" si="24"/>
        <v>279090</v>
      </c>
      <c r="M29" s="131">
        <f t="shared" si="24"/>
        <v>279090</v>
      </c>
      <c r="N29" s="131">
        <f t="shared" si="24"/>
        <v>279090</v>
      </c>
      <c r="O29" s="131">
        <f t="shared" ref="O29:U29" si="25">O10+O12</f>
        <v>279090</v>
      </c>
      <c r="P29" s="131">
        <f t="shared" si="25"/>
        <v>279090</v>
      </c>
      <c r="Q29" s="131">
        <f t="shared" si="25"/>
        <v>279090</v>
      </c>
      <c r="R29" s="131">
        <f t="shared" si="25"/>
        <v>279090</v>
      </c>
      <c r="S29" s="131">
        <f t="shared" si="25"/>
        <v>279090</v>
      </c>
      <c r="T29" s="131">
        <f t="shared" si="25"/>
        <v>279090</v>
      </c>
      <c r="U29" s="131">
        <f t="shared" si="25"/>
        <v>279090</v>
      </c>
      <c r="V29" s="131">
        <f t="shared" ref="V29" si="26">V10+V12</f>
        <v>279090</v>
      </c>
    </row>
    <row r="30" spans="1:22">
      <c r="A30" s="119" t="s">
        <v>247</v>
      </c>
      <c r="B30" s="125"/>
      <c r="C30" s="125"/>
      <c r="D30" s="125"/>
      <c r="E30" s="125">
        <f>SUM(E27:E29)</f>
        <v>1009875</v>
      </c>
      <c r="F30" s="125">
        <f>SUM(F27:F29)</f>
        <v>1009875</v>
      </c>
      <c r="G30" s="125">
        <f>SUM(G27:G29)</f>
        <v>1009875</v>
      </c>
      <c r="H30" s="125">
        <f t="shared" ref="H30:N30" si="27">SUM(H27:H29)</f>
        <v>1009875</v>
      </c>
      <c r="I30" s="125">
        <f t="shared" si="27"/>
        <v>1009875</v>
      </c>
      <c r="J30" s="125">
        <f t="shared" si="27"/>
        <v>1009875</v>
      </c>
      <c r="K30" s="125">
        <f t="shared" si="27"/>
        <v>1009875</v>
      </c>
      <c r="L30" s="125">
        <f t="shared" si="27"/>
        <v>1206577.06125</v>
      </c>
      <c r="M30" s="125">
        <f t="shared" si="27"/>
        <v>1206577.06125</v>
      </c>
      <c r="N30" s="125">
        <f t="shared" si="27"/>
        <v>1206577.06125</v>
      </c>
      <c r="O30" s="125">
        <f t="shared" ref="O30:U30" si="28">SUM(O27:O29)</f>
        <v>1206090</v>
      </c>
      <c r="P30" s="125">
        <f t="shared" si="28"/>
        <v>1206090</v>
      </c>
      <c r="Q30" s="125">
        <f t="shared" si="28"/>
        <v>1206090</v>
      </c>
      <c r="R30" s="125">
        <f t="shared" si="28"/>
        <v>1212322.8791700001</v>
      </c>
      <c r="S30" s="125">
        <f t="shared" si="28"/>
        <v>1212322.8791700001</v>
      </c>
      <c r="T30" s="125">
        <f t="shared" si="28"/>
        <v>1212322.8791700001</v>
      </c>
      <c r="U30" s="125">
        <f t="shared" si="28"/>
        <v>1212322.8791700001</v>
      </c>
      <c r="V30" s="125">
        <f t="shared" ref="V30" si="29">SUM(V27:V29)</f>
        <v>1212322.8791700001</v>
      </c>
    </row>
    <row r="31" spans="1:22">
      <c r="A31" s="119"/>
      <c r="B31" s="125"/>
      <c r="C31" s="125"/>
      <c r="D31" s="125"/>
      <c r="E31" s="125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</row>
    <row r="32" spans="1:22">
      <c r="A32" s="119" t="s">
        <v>248</v>
      </c>
      <c r="B32" s="125"/>
      <c r="C32" s="127"/>
      <c r="D32" s="127"/>
      <c r="E32" s="125">
        <f>'Master old'!K304</f>
        <v>636.84566596194509</v>
      </c>
      <c r="F32" s="125">
        <f>'Master old'!L304</f>
        <v>740.24524312896403</v>
      </c>
      <c r="G32" s="125">
        <f>'Master old'!M304</f>
        <v>764.3424947145877</v>
      </c>
      <c r="H32" s="125">
        <f>'Master old'!N304</f>
        <v>707.37420718816065</v>
      </c>
      <c r="I32" s="125">
        <f>'Master old'!O304</f>
        <v>598.67653276955605</v>
      </c>
      <c r="J32" s="125">
        <f>'Master old'!P304</f>
        <v>238.77801268498942</v>
      </c>
      <c r="K32" s="125">
        <f>'Master old'!Q304</f>
        <v>30.012684989429175</v>
      </c>
      <c r="L32" s="125">
        <f>'Master old'!R304</f>
        <v>113.80020747432287</v>
      </c>
      <c r="M32" s="125">
        <f>'Master old'!S304</f>
        <v>144.56071205920557</v>
      </c>
      <c r="N32" s="125">
        <f>Master!E82</f>
        <v>511.58</v>
      </c>
      <c r="O32" s="125">
        <f>Master!F82</f>
        <v>281.55</v>
      </c>
      <c r="P32" s="125">
        <f>Master!G82</f>
        <v>249.92</v>
      </c>
      <c r="Q32" s="125">
        <f>Master!H82</f>
        <v>3300.4354955210765</v>
      </c>
      <c r="R32" s="125">
        <f>Master!I82</f>
        <v>294.30120405130816</v>
      </c>
      <c r="S32" s="125">
        <f>Master!J82</f>
        <v>335.39071556609963</v>
      </c>
      <c r="T32" s="125">
        <f>Master!K82</f>
        <v>386.78987141048998</v>
      </c>
      <c r="U32" s="125">
        <f>Master!L82</f>
        <v>542.45129122655817</v>
      </c>
      <c r="V32" s="125">
        <f>Master!M82</f>
        <v>683.26681898966274</v>
      </c>
    </row>
    <row r="33" spans="1:23">
      <c r="A33" s="119" t="s">
        <v>103</v>
      </c>
      <c r="B33" s="125"/>
      <c r="C33" s="127"/>
      <c r="D33" s="127"/>
      <c r="E33" s="125">
        <f>'Master old'!K315</f>
        <v>450</v>
      </c>
      <c r="F33" s="125">
        <f>'Master old'!L315</f>
        <v>545</v>
      </c>
      <c r="G33" s="125">
        <f>'Master old'!M315</f>
        <v>555</v>
      </c>
      <c r="H33" s="125">
        <f>'Master old'!N315</f>
        <v>375</v>
      </c>
      <c r="I33" s="125">
        <f>'Master old'!O315</f>
        <v>300</v>
      </c>
      <c r="J33" s="125">
        <f>'Master old'!P315</f>
        <v>114</v>
      </c>
      <c r="K33" s="125">
        <f>'Master old'!Q315</f>
        <v>0</v>
      </c>
      <c r="L33" s="125">
        <f>'Master old'!R315</f>
        <v>0</v>
      </c>
      <c r="M33" s="125">
        <f>'Master old'!S315</f>
        <v>15</v>
      </c>
      <c r="N33" s="125">
        <f>'Master old'!T315</f>
        <v>34</v>
      </c>
      <c r="O33" s="125">
        <f>'Master old'!U315</f>
        <v>0</v>
      </c>
      <c r="P33" s="125">
        <f>Master!F93</f>
        <v>154</v>
      </c>
      <c r="Q33" s="125">
        <f>Master!G93</f>
        <v>839</v>
      </c>
      <c r="R33" s="125">
        <f>Master!H93</f>
        <v>1240</v>
      </c>
      <c r="S33" s="125">
        <f>Master!I93</f>
        <v>94</v>
      </c>
      <c r="T33" s="125">
        <f>Master!J93</f>
        <v>150</v>
      </c>
      <c r="U33" s="125">
        <f>Master!K93</f>
        <v>165</v>
      </c>
      <c r="V33" s="125">
        <f>Master!L93</f>
        <v>181.50000000000003</v>
      </c>
    </row>
    <row r="34" spans="1:23">
      <c r="A34" s="119"/>
      <c r="B34" s="125"/>
      <c r="C34" s="125"/>
      <c r="D34" s="133"/>
      <c r="E34" s="120"/>
      <c r="F34" s="133"/>
      <c r="G34" s="133" t="s">
        <v>38</v>
      </c>
      <c r="H34" s="133"/>
      <c r="I34" s="133"/>
      <c r="J34" s="133"/>
      <c r="K34" s="133"/>
      <c r="L34" s="127"/>
      <c r="M34" s="127"/>
      <c r="N34" s="127"/>
      <c r="O34" s="133"/>
      <c r="P34" s="133"/>
      <c r="Q34" s="133"/>
      <c r="R34" s="133"/>
      <c r="S34" s="133"/>
      <c r="T34" s="133"/>
      <c r="U34" s="133"/>
      <c r="V34" s="133"/>
    </row>
    <row r="35" spans="1:23">
      <c r="A35" s="119" t="s">
        <v>249</v>
      </c>
      <c r="B35" s="124"/>
      <c r="C35" s="134"/>
      <c r="D35" s="127"/>
      <c r="E35" s="127">
        <f>E15/'Master old'!K221</f>
        <v>1.3587155954079289</v>
      </c>
      <c r="F35" s="127">
        <f>F15/'Master old'!L221</f>
        <v>1.1893227556458499</v>
      </c>
      <c r="G35" s="127">
        <f>G15/'Master old'!M221</f>
        <v>1.0860461836628617</v>
      </c>
      <c r="H35" s="127">
        <f>H15/'Master old'!N221</f>
        <v>0.96088453786831451</v>
      </c>
      <c r="I35" s="127">
        <f>I15/'Master old'!O221</f>
        <v>1.1015523775343232</v>
      </c>
      <c r="J35" s="127">
        <f>J15/'Master old'!P221</f>
        <v>1.1803728607201813</v>
      </c>
      <c r="K35" s="127">
        <f>K15/'Master old'!Q221</f>
        <v>1.2704521926928087</v>
      </c>
      <c r="L35" s="127">
        <f>L15/'Master old'!R221</f>
        <v>1.3756259648177349</v>
      </c>
      <c r="M35" s="127">
        <f>M15/'Master old'!S221</f>
        <v>1.3552520043014165</v>
      </c>
      <c r="N35" s="127">
        <f>N15/Master!D7</f>
        <v>1.4793038135218624</v>
      </c>
      <c r="O35" s="127">
        <f>O15/Master!E7</f>
        <v>1.2147423318155344</v>
      </c>
      <c r="P35" s="127">
        <f>P15/Master!F7</f>
        <v>1.1209335222591019</v>
      </c>
      <c r="Q35" s="127">
        <f>Q15/Master!G7</f>
        <v>1.0228878133445778</v>
      </c>
      <c r="R35" s="127">
        <f>R15/Master!H7</f>
        <v>1.0841286885300914</v>
      </c>
      <c r="S35" s="127">
        <f>S15/Master!I7</f>
        <v>0.91729247607107423</v>
      </c>
      <c r="T35" s="127">
        <f>T15/Master!J7</f>
        <v>0.92824905970951466</v>
      </c>
      <c r="U35" s="127">
        <f>U15/Master!K7</f>
        <v>0.92700407214155101</v>
      </c>
      <c r="V35" s="127">
        <f>V15/Master!L7</f>
        <v>0.90647455813213274</v>
      </c>
    </row>
    <row r="36" spans="1:23">
      <c r="A36" s="119" t="s">
        <v>2713</v>
      </c>
      <c r="B36" s="125"/>
      <c r="C36" s="127"/>
      <c r="D36" s="127"/>
      <c r="E36" s="127">
        <f>E15/E19</f>
        <v>3.3672556670104994</v>
      </c>
      <c r="F36" s="127">
        <f t="shared" ref="F36:N36" si="30">F15/F19</f>
        <v>2.8953652204493885</v>
      </c>
      <c r="G36" s="127">
        <f t="shared" si="30"/>
        <v>2.6158649376260437</v>
      </c>
      <c r="H36" s="127">
        <f t="shared" si="30"/>
        <v>2.5515355908776778</v>
      </c>
      <c r="I36" s="127">
        <f>I15/I19</f>
        <v>3.920168940420576</v>
      </c>
      <c r="J36" s="127">
        <f>J15/J19</f>
        <v>5.3644763075242388</v>
      </c>
      <c r="K36" s="127">
        <f t="shared" si="30"/>
        <v>6.244066384126584</v>
      </c>
      <c r="L36" s="127">
        <f t="shared" si="30"/>
        <v>6.1993630774645014</v>
      </c>
      <c r="M36" s="127">
        <f t="shared" si="30"/>
        <v>6.0207452829224071</v>
      </c>
      <c r="N36" s="127">
        <f t="shared" si="30"/>
        <v>6.6631579642369436</v>
      </c>
      <c r="O36" s="127">
        <f t="shared" ref="O36:U36" si="31">O15/O19</f>
        <v>4.9305234301379253</v>
      </c>
      <c r="P36" s="127">
        <f t="shared" si="31"/>
        <v>4.4444749562698664</v>
      </c>
      <c r="Q36" s="127">
        <f>Q15/Q19</f>
        <v>3.9120728495534327</v>
      </c>
      <c r="R36" s="127">
        <f t="shared" si="31"/>
        <v>4.5796489064949117</v>
      </c>
      <c r="S36" s="127">
        <f t="shared" si="31"/>
        <v>3.8835024386539914</v>
      </c>
      <c r="T36" s="127">
        <f t="shared" si="31"/>
        <v>4.0646940928723669</v>
      </c>
      <c r="U36" s="127">
        <f t="shared" si="31"/>
        <v>3.9725868288867701</v>
      </c>
      <c r="V36" s="127">
        <f t="shared" ref="V36" si="32">V15/V19</f>
        <v>3.7552181777877793</v>
      </c>
      <c r="W36" s="134">
        <f>(Q36*3+R36*9)/12</f>
        <v>4.4127548922595414</v>
      </c>
    </row>
    <row r="37" spans="1:23">
      <c r="A37" s="119" t="s">
        <v>2714</v>
      </c>
      <c r="B37" s="125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>
        <f>O16/Master!E25</f>
        <v>4.6040399425207177</v>
      </c>
      <c r="P37" s="127">
        <f>P16/Master!F25</f>
        <v>4.0298313878080414</v>
      </c>
      <c r="Q37" s="127">
        <f>Q16/Master!G25</f>
        <v>3.7202677568434157</v>
      </c>
      <c r="R37" s="127">
        <f>R16/Master!H25</f>
        <v>3.7996394353905796</v>
      </c>
      <c r="S37" s="127">
        <f>S16/Master!I25</f>
        <v>3.5587722476610018</v>
      </c>
      <c r="T37" s="127">
        <f>T16/Master!J25</f>
        <v>3.7274030417994863</v>
      </c>
      <c r="U37" s="127">
        <f>U16/Master!K25</f>
        <v>3.6929801292505937</v>
      </c>
      <c r="V37" s="127">
        <f>V16/Master!L25</f>
        <v>3.5616011607795235</v>
      </c>
      <c r="W37" s="134">
        <f>(Q37*3+R37*9)/12</f>
        <v>3.7797965157537887</v>
      </c>
    </row>
    <row r="38" spans="1:23">
      <c r="A38" s="119" t="s">
        <v>250</v>
      </c>
      <c r="B38" s="135"/>
      <c r="C38" s="127"/>
      <c r="D38" s="127"/>
      <c r="E38" s="127">
        <f>E15/'Master old'!K281</f>
        <v>6.3347817119929504</v>
      </c>
      <c r="F38" s="127">
        <f>F15/'Master old'!L281</f>
        <v>5.2532381234937189</v>
      </c>
      <c r="G38" s="127">
        <f>G15/'Master old'!M281</f>
        <v>5.0081605654424584</v>
      </c>
      <c r="H38" s="127">
        <f>H15/'Master old'!N281</f>
        <v>4.7844764132849997</v>
      </c>
      <c r="I38" s="127">
        <f>I15/'Master old'!O281</f>
        <v>18.900199729628131</v>
      </c>
      <c r="J38" s="127">
        <f>J15/'Master old'!P281</f>
        <v>-13.292298842796237</v>
      </c>
      <c r="K38" s="127">
        <f>K15/'Master old'!Q281</f>
        <v>-33.26296420696</v>
      </c>
      <c r="L38" s="127">
        <f>L15/'Master old'!R281</f>
        <v>46.26361660123338</v>
      </c>
      <c r="M38" s="127">
        <f>M15/'Master old'!S281</f>
        <v>49.908612620545476</v>
      </c>
      <c r="N38" s="127">
        <f>N15/'Master old'!T281</f>
        <v>-557.77295318627455</v>
      </c>
      <c r="O38" s="127">
        <f>O15/Master!E54</f>
        <v>14.665752560306752</v>
      </c>
      <c r="P38" s="127">
        <f>P15/Master!F54</f>
        <v>8.6806164245173854</v>
      </c>
      <c r="Q38" s="127">
        <f>Q15/Master!G54</f>
        <v>8.0294854623405083</v>
      </c>
      <c r="R38" s="127">
        <f>R15/Master!H54</f>
        <v>12.045611036127539</v>
      </c>
      <c r="S38" s="127">
        <f>S15/Master!I54</f>
        <v>8.578375562133834</v>
      </c>
      <c r="T38" s="127">
        <f>T15/Master!J54</f>
        <v>11.240767841229911</v>
      </c>
      <c r="U38" s="127">
        <f>U15/Master!K54</f>
        <v>9.4213173545682398</v>
      </c>
      <c r="V38" s="127">
        <f>V15/Master!L54</f>
        <v>7.2111124525023307</v>
      </c>
    </row>
    <row r="39" spans="1:23">
      <c r="A39" s="119" t="s">
        <v>251</v>
      </c>
      <c r="B39" s="136"/>
      <c r="C39" s="127"/>
      <c r="D39" s="127"/>
      <c r="E39" s="127">
        <f>E38/(1-'Master old'!K299)</f>
        <v>7.5456808680360608</v>
      </c>
      <c r="F39" s="127">
        <f>F38/(1-'Master old'!L299)</f>
        <v>5.9913464663187836</v>
      </c>
      <c r="G39" s="127">
        <f>G38/(1-'Master old'!M299)</f>
        <v>6.0764676757195621</v>
      </c>
      <c r="H39" s="127">
        <f>H38/(1-'Master old'!N299)</f>
        <v>5.6808328859927988</v>
      </c>
      <c r="I39" s="127">
        <f>I38/(1-'Master old'!O299)</f>
        <v>23.625249662035163</v>
      </c>
      <c r="J39" s="127">
        <f>J38/(1-'Master old'!P299)</f>
        <v>-18.208628551775668</v>
      </c>
      <c r="K39" s="127">
        <f>K38/(1-'Master old'!Q299)</f>
        <v>-43.198654814233763</v>
      </c>
      <c r="L39" s="127">
        <f>L38/(1-'Master old'!R299)</f>
        <v>61.684822134977843</v>
      </c>
      <c r="M39" s="127">
        <f>M38/(1-'Master old'!S299)</f>
        <v>67.444071108845236</v>
      </c>
      <c r="N39" s="127">
        <f>N38/(1-'Master old'!T299)</f>
        <v>-764.07253861133506</v>
      </c>
      <c r="O39" s="127">
        <f>O38/(1-Master!E75)</f>
        <v>22.889330064215418</v>
      </c>
      <c r="P39" s="127">
        <f>P38/(1-Master!F75)</f>
        <v>9.6557148515086944</v>
      </c>
      <c r="Q39" s="127">
        <f>Q38/(1-Master!G75)</f>
        <v>12.704677361861352</v>
      </c>
      <c r="R39" s="127">
        <f>R38/(1-Master!H75)</f>
        <v>13.048183372473167</v>
      </c>
      <c r="S39" s="127">
        <f>S38/(1-Master!I75)</f>
        <v>11.638772136042117</v>
      </c>
      <c r="T39" s="127">
        <f>T38/(1-Master!J75)</f>
        <v>15.398312111273851</v>
      </c>
      <c r="U39" s="127">
        <f>U38/(1-Master!K75)</f>
        <v>12.905914184340055</v>
      </c>
      <c r="V39" s="127">
        <f>V38/(1-Master!L75)</f>
        <v>9.8782362363045628</v>
      </c>
    </row>
    <row r="40" spans="1:23">
      <c r="A40" s="119"/>
      <c r="B40" s="136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</row>
    <row r="41" spans="1:23">
      <c r="A41" s="119" t="s">
        <v>252</v>
      </c>
      <c r="B41" s="124"/>
      <c r="C41" s="127"/>
      <c r="D41" s="127"/>
      <c r="E41" s="127">
        <f>1/E42</f>
        <v>9.9635446984421403</v>
      </c>
      <c r="F41" s="127">
        <f>1/F42</f>
        <v>8.2668898730343248</v>
      </c>
      <c r="G41" s="127">
        <f t="shared" ref="G41:V41" si="33">1/G42</f>
        <v>10.16871072982117</v>
      </c>
      <c r="H41" s="127">
        <f t="shared" si="33"/>
        <v>9.4017074124415814</v>
      </c>
      <c r="I41" s="127">
        <f t="shared" si="33"/>
        <v>41.319770265629636</v>
      </c>
      <c r="J41" s="127">
        <f t="shared" si="33"/>
        <v>-4.6310095933378577</v>
      </c>
      <c r="K41" s="127">
        <f t="shared" si="33"/>
        <v>-6.7135677389760868</v>
      </c>
      <c r="L41" s="127">
        <f t="shared" si="33"/>
        <v>-49.336647908488715</v>
      </c>
      <c r="M41" s="127">
        <f t="shared" si="33"/>
        <v>-58.224053527481544</v>
      </c>
      <c r="N41" s="127">
        <f t="shared" si="33"/>
        <v>-10.086075678352895</v>
      </c>
      <c r="O41" s="127">
        <f t="shared" si="33"/>
        <v>-11.157272500208142</v>
      </c>
      <c r="P41" s="127">
        <f t="shared" si="33"/>
        <v>35.85391955765629</v>
      </c>
      <c r="Q41" s="127">
        <f t="shared" si="33"/>
        <v>-49.606794718874674</v>
      </c>
      <c r="R41" s="127">
        <f t="shared" si="33"/>
        <v>-5.9913656337937686</v>
      </c>
      <c r="S41" s="127">
        <f t="shared" si="33"/>
        <v>-41.596255933093161</v>
      </c>
      <c r="T41" s="127">
        <f t="shared" si="33"/>
        <v>-14.184064032114838</v>
      </c>
      <c r="U41" s="127">
        <f t="shared" si="33"/>
        <v>-23.517398604772296</v>
      </c>
      <c r="V41" s="127">
        <f t="shared" si="33"/>
        <v>152.23930801070631</v>
      </c>
    </row>
    <row r="42" spans="1:23">
      <c r="A42" s="119" t="s">
        <v>253</v>
      </c>
      <c r="B42" s="124"/>
      <c r="C42" s="137"/>
      <c r="D42" s="138"/>
      <c r="E42" s="137">
        <f t="shared" ref="E42:U42" si="34">E25/E30</f>
        <v>0.10036588686718653</v>
      </c>
      <c r="F42" s="137">
        <f t="shared" si="34"/>
        <v>0.12096447580146058</v>
      </c>
      <c r="G42" s="138">
        <f t="shared" si="34"/>
        <v>9.834088377274415E-2</v>
      </c>
      <c r="H42" s="137">
        <f t="shared" si="34"/>
        <v>0.10636365886867187</v>
      </c>
      <c r="I42" s="137">
        <f t="shared" si="34"/>
        <v>2.4201489833350163E-2</v>
      </c>
      <c r="J42" s="137">
        <f t="shared" si="34"/>
        <v>-0.21593563559846515</v>
      </c>
      <c r="K42" s="137">
        <f t="shared" si="34"/>
        <v>-0.14895209803193465</v>
      </c>
      <c r="L42" s="137">
        <f t="shared" si="34"/>
        <v>-2.0268908456343323E-2</v>
      </c>
      <c r="M42" s="137">
        <f t="shared" si="34"/>
        <v>-1.7175032300490785E-2</v>
      </c>
      <c r="N42" s="137">
        <f t="shared" si="34"/>
        <v>-9.9146589009463479E-2</v>
      </c>
      <c r="O42" s="137">
        <f t="shared" si="34"/>
        <v>-8.9627639728378478E-2</v>
      </c>
      <c r="P42" s="137">
        <f t="shared" si="34"/>
        <v>2.7890953411436957E-2</v>
      </c>
      <c r="Q42" s="137">
        <f t="shared" si="34"/>
        <v>-2.0158528799674984E-2</v>
      </c>
      <c r="R42" s="137">
        <f t="shared" si="34"/>
        <v>-0.16690685581924566</v>
      </c>
      <c r="S42" s="137">
        <f t="shared" si="34"/>
        <v>-2.4040625233397984E-2</v>
      </c>
      <c r="T42" s="137">
        <f t="shared" si="34"/>
        <v>-7.0501655783268516E-2</v>
      </c>
      <c r="U42" s="137">
        <f t="shared" si="34"/>
        <v>-4.2521709854297991E-2</v>
      </c>
      <c r="V42" s="137">
        <f t="shared" ref="V42" si="35">V25/V30</f>
        <v>6.5686057895748872E-3</v>
      </c>
    </row>
    <row r="43" spans="1:23">
      <c r="A43" s="119" t="s">
        <v>254</v>
      </c>
      <c r="B43" s="124"/>
      <c r="C43" s="137"/>
      <c r="D43" s="137"/>
      <c r="E43" s="137"/>
      <c r="F43" s="137">
        <f>'Master old'!M309/F8</f>
        <v>0.17637540453074432</v>
      </c>
      <c r="G43" s="137">
        <f>'Master old'!N309/G8</f>
        <v>0.1796116504854369</v>
      </c>
      <c r="H43" s="137">
        <f>'Master old'!O309/H8</f>
        <v>0.12135922330097088</v>
      </c>
      <c r="I43" s="137">
        <f>'Master old'!P309/I8</f>
        <v>7.4433656957928807E-2</v>
      </c>
      <c r="J43" s="137">
        <f>'Master old'!Q309/J8</f>
        <v>1.1003236245954692E-2</v>
      </c>
      <c r="K43" s="137">
        <f>'Master old'!R309/K8</f>
        <v>0</v>
      </c>
      <c r="L43" s="137">
        <f>'Master old'!S309/L8</f>
        <v>4.8543689320388345E-3</v>
      </c>
      <c r="M43" s="137">
        <f>'Master old'!T309/M8</f>
        <v>1.1003236245954692E-2</v>
      </c>
      <c r="N43" s="137">
        <f>'Master old'!U309/N8</f>
        <v>0</v>
      </c>
      <c r="O43" s="137">
        <f>Master!E95/O8</f>
        <v>0</v>
      </c>
      <c r="P43" s="137">
        <f>Master!F95/P8</f>
        <v>4.983818770226537E-2</v>
      </c>
      <c r="Q43" s="137">
        <f>Master!G95/Q8</f>
        <v>0.2715210355987055</v>
      </c>
      <c r="R43" s="137">
        <f>Master!H95/R8</f>
        <v>0.39861433121693046</v>
      </c>
      <c r="S43" s="137">
        <f>Master!I95/S8</f>
        <v>3.0420711974110032E-2</v>
      </c>
      <c r="T43" s="137">
        <f>Master!J95/T8</f>
        <v>4.8543689320388349E-2</v>
      </c>
      <c r="U43" s="137">
        <f>Master!K95/U8</f>
        <v>5.3398058252427182E-2</v>
      </c>
      <c r="V43" s="137">
        <f>Master!L95/V8</f>
        <v>5.8737864077669913E-2</v>
      </c>
    </row>
    <row r="44" spans="1:23">
      <c r="A44" s="119" t="s">
        <v>255</v>
      </c>
      <c r="B44" s="139"/>
      <c r="C44" s="127"/>
      <c r="D44" s="127"/>
      <c r="E44" s="127">
        <f>E8/'Master old'!K302</f>
        <v>4.8520389870795544</v>
      </c>
      <c r="F44" s="127">
        <f>F8/'Master old'!L302</f>
        <v>4.1742922750017133</v>
      </c>
      <c r="G44" s="127">
        <f>G8/'Master old'!M302</f>
        <v>4.0426903140506845</v>
      </c>
      <c r="H44" s="127">
        <f>H8/'Master old'!N302</f>
        <v>4.3682678398508017</v>
      </c>
      <c r="I44" s="127">
        <f>I8/'Master old'!O302</f>
        <v>5.161384872904998</v>
      </c>
      <c r="J44" s="127">
        <f>J8/'Master old'!P302</f>
        <v>12.940890014343646</v>
      </c>
      <c r="K44" s="127">
        <f>K8/'Master old'!Q302</f>
        <v>102.95646661031276</v>
      </c>
      <c r="L44" s="127">
        <f>L8/'Master old'!R302</f>
        <v>27.152850320569122</v>
      </c>
      <c r="M44" s="127">
        <f>M8/'Master old'!S302</f>
        <v>21.375102238943562</v>
      </c>
      <c r="N44" s="127">
        <f>N8/'Master old'!T302</f>
        <v>-39.275336068177005</v>
      </c>
      <c r="O44" s="127">
        <f>O8/Master!E78</f>
        <v>6.0401110285781305</v>
      </c>
      <c r="P44" s="127">
        <f>P8/Master!F78</f>
        <v>10.974960042621204</v>
      </c>
      <c r="Q44" s="127">
        <f>Q8/Master!G78</f>
        <v>12.363956466069142</v>
      </c>
      <c r="R44" s="127">
        <f>R8/Master!H78</f>
        <v>0.93624008231439382</v>
      </c>
      <c r="S44" s="127">
        <f>S8/Master!I78</f>
        <v>10.499447360267315</v>
      </c>
      <c r="T44" s="127">
        <f>T8/Master!J78</f>
        <v>9.2131351781293276</v>
      </c>
      <c r="U44" s="127">
        <f>U8/Master!K78</f>
        <v>7.9888338045973901</v>
      </c>
      <c r="V44" s="127">
        <f>V8/Master!L78</f>
        <v>5.6963639869177527</v>
      </c>
    </row>
    <row r="45" spans="1:23">
      <c r="A45" s="119"/>
      <c r="B45" s="139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</row>
    <row r="46" spans="1:23">
      <c r="A46" s="119" t="s">
        <v>2897</v>
      </c>
      <c r="B46" s="139"/>
      <c r="C46" s="127"/>
      <c r="D46" s="127"/>
      <c r="E46" s="127">
        <f t="shared" ref="E46:U46" si="36">E13/E19</f>
        <v>0.85111047992066935</v>
      </c>
      <c r="F46" s="127">
        <f t="shared" si="36"/>
        <v>0.63324739208250358</v>
      </c>
      <c r="G46" s="127">
        <f t="shared" si="36"/>
        <v>0.65570003047366165</v>
      </c>
      <c r="H46" s="127">
        <f t="shared" si="36"/>
        <v>0.69044367657221839</v>
      </c>
      <c r="I46" s="127">
        <f t="shared" si="36"/>
        <v>1.7339989349220024</v>
      </c>
      <c r="J46" s="127">
        <f t="shared" si="36"/>
        <v>2.6063853611907688</v>
      </c>
      <c r="K46" s="127">
        <f t="shared" si="36"/>
        <v>3.4756624431858678</v>
      </c>
      <c r="L46" s="127">
        <f t="shared" si="36"/>
        <v>3.3008953086977306</v>
      </c>
      <c r="M46" s="127">
        <f t="shared" si="36"/>
        <v>3.2791664678495716</v>
      </c>
      <c r="N46" s="127">
        <f t="shared" si="36"/>
        <v>3.8369276751436447</v>
      </c>
      <c r="O46" s="127">
        <f t="shared" si="36"/>
        <v>2.4704507349071729</v>
      </c>
      <c r="P46" s="127">
        <f t="shared" si="36"/>
        <v>2.1759813418097691</v>
      </c>
      <c r="Q46" s="127">
        <f t="shared" si="36"/>
        <v>2.0291841580634231</v>
      </c>
      <c r="R46" s="127">
        <f t="shared" si="36"/>
        <v>2.6043516656836259</v>
      </c>
      <c r="S46" s="127">
        <f t="shared" si="36"/>
        <v>1.8888351415474627</v>
      </c>
      <c r="T46" s="127">
        <f t="shared" si="36"/>
        <v>2.1252088994582303</v>
      </c>
      <c r="U46" s="127">
        <f t="shared" si="36"/>
        <v>2.1954488569986963</v>
      </c>
      <c r="V46" s="127">
        <f t="shared" ref="V46" si="37">V13/V19</f>
        <v>2.1526361476926219</v>
      </c>
    </row>
    <row r="47" spans="1:23">
      <c r="A47" s="119" t="s">
        <v>2898</v>
      </c>
      <c r="B47" s="139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>
        <f>Master!E107</f>
        <v>2.9874351265381289</v>
      </c>
      <c r="P47" s="127">
        <f>Master!F107</f>
        <v>2.5864524798246147</v>
      </c>
      <c r="Q47" s="127">
        <f>Master!G107</f>
        <v>2.4965909975935676</v>
      </c>
      <c r="R47" s="127">
        <f>Master!H107</f>
        <v>2.5530118647192248</v>
      </c>
      <c r="S47" s="127">
        <f>Master!I107</f>
        <v>2.3167635981314629</v>
      </c>
      <c r="T47" s="127">
        <f>Master!J107</f>
        <v>2.4872345930438851</v>
      </c>
      <c r="U47" s="127">
        <f>Master!K107</f>
        <v>2.507127457471984</v>
      </c>
      <c r="V47" s="127">
        <f>Master!L107</f>
        <v>2.4360804218719814</v>
      </c>
    </row>
    <row r="48" spans="1:23">
      <c r="A48" s="119" t="s">
        <v>419</v>
      </c>
      <c r="E48" s="137">
        <f>('Master old'!K291-'Master old'!K298)/('Master old'!K323+'Master old'!K355)</f>
        <v>0.16040468770574551</v>
      </c>
      <c r="F48" s="137">
        <f>('Master old'!L291-'Master old'!L298)/('Master old'!L323+'Master old'!L355)</f>
        <v>0.18325224709309562</v>
      </c>
      <c r="G48" s="138">
        <f>('Master old'!M291-'Master old'!M298)/('Master old'!M323+'Master old'!M355)</f>
        <v>0.17973648227146988</v>
      </c>
      <c r="H48" s="137">
        <f>('Master old'!N291-'Master old'!N298)/('Master old'!N323+'Master old'!N355)</f>
        <v>0.16004421789596512</v>
      </c>
      <c r="I48" s="137">
        <f>('Master old'!O291-'Master old'!O298)/('Master old'!O323+'Master old'!O355)</f>
        <v>0.10879771236293052</v>
      </c>
      <c r="J48" s="137">
        <f>('Master old'!P291-'Master old'!P298)/('Master old'!P323+'Master old'!P355)</f>
        <v>7.0542683127882172E-2</v>
      </c>
      <c r="K48" s="137">
        <f>('Master old'!Q291-'Master old'!Q298)/('Master old'!Q323+'Master old'!Q355)</f>
        <v>4.5800685492213992E-2</v>
      </c>
      <c r="L48" s="137">
        <f>('Master old'!R291-'Master old'!R298)/('Master old'!R323+'Master old'!R355)</f>
        <v>5.402712927147936E-2</v>
      </c>
      <c r="M48" s="137">
        <f>('Master old'!S291-'Master old'!S298)/('Master old'!S323+'Master old'!S355)</f>
        <v>5.0200595035207615E-2</v>
      </c>
      <c r="N48" s="137">
        <f>('Master old'!T291-'Master old'!T298)/('Master old'!T323+'Master old'!T355)</f>
        <v>2.3155034453469094E-2</v>
      </c>
      <c r="O48" s="137">
        <f>(Master!E67-Master!E74)/(Master!E101+Master!E242)</f>
        <v>9.1203722748569777E-2</v>
      </c>
      <c r="P48" s="137">
        <f>(Master!F67-Master!F74)/(Master!F101+Master!F242)</f>
        <v>7.6153844422250525E-2</v>
      </c>
      <c r="Q48" s="137">
        <f>(Master!G67-Master!G74)/(Master!G101+Master!G242)</f>
        <v>8.945196755439562E-2</v>
      </c>
      <c r="R48" s="137">
        <f>(Master!H67-Master!H74)/(Master!H101+Master!H242)</f>
        <v>0.38524499719418437</v>
      </c>
      <c r="S48" s="137">
        <f>(Master!I67-Master!I74)/(Master!I101+Master!I242)</f>
        <v>7.7160483988931286E-2</v>
      </c>
      <c r="T48" s="137">
        <f>(Master!J67-Master!J74)/(Master!J101+Master!J242)</f>
        <v>7.1786751360616186E-2</v>
      </c>
      <c r="U48" s="137">
        <f>(Master!K67-Master!K74)/(Master!K101+Master!K242)</f>
        <v>7.2959125510525219E-2</v>
      </c>
      <c r="V48" s="137">
        <f>(Master!L67-Master!L74)/(Master!L101+Master!L242)</f>
        <v>8.2245043733596854E-2</v>
      </c>
    </row>
    <row r="49" spans="1:22">
      <c r="A49" s="119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</row>
    <row r="50" spans="1:22">
      <c r="E50">
        <v>2009</v>
      </c>
      <c r="F50">
        <f t="shared" ref="F50:O50" si="38">E50+1</f>
        <v>2010</v>
      </c>
      <c r="G50">
        <f t="shared" si="38"/>
        <v>2011</v>
      </c>
      <c r="H50">
        <f t="shared" si="38"/>
        <v>2012</v>
      </c>
      <c r="I50">
        <f t="shared" si="38"/>
        <v>2013</v>
      </c>
      <c r="J50">
        <f t="shared" si="38"/>
        <v>2014</v>
      </c>
      <c r="K50">
        <f t="shared" si="38"/>
        <v>2015</v>
      </c>
      <c r="L50">
        <f t="shared" si="38"/>
        <v>2016</v>
      </c>
      <c r="M50">
        <f t="shared" si="38"/>
        <v>2017</v>
      </c>
      <c r="N50">
        <f t="shared" si="38"/>
        <v>2018</v>
      </c>
      <c r="O50">
        <f t="shared" si="38"/>
        <v>2019</v>
      </c>
      <c r="P50">
        <f t="shared" ref="P50" si="39">O50+1</f>
        <v>2020</v>
      </c>
      <c r="Q50">
        <f t="shared" ref="Q50" si="40">P50+1</f>
        <v>2021</v>
      </c>
      <c r="R50">
        <f t="shared" ref="R50" si="41">Q50+1</f>
        <v>2022</v>
      </c>
      <c r="S50">
        <f t="shared" ref="S50:V50" si="42">R50+1</f>
        <v>2023</v>
      </c>
      <c r="T50">
        <f t="shared" si="42"/>
        <v>2024</v>
      </c>
      <c r="U50">
        <f t="shared" si="42"/>
        <v>2025</v>
      </c>
      <c r="V50">
        <f t="shared" si="42"/>
        <v>2026</v>
      </c>
    </row>
    <row r="51" spans="1:22">
      <c r="A51" t="str">
        <f>A46</f>
        <v>Debt/EBITDA (IAS 17)</v>
      </c>
      <c r="E51" s="360">
        <f t="shared" ref="E51:U51" si="43">E46</f>
        <v>0.85111047992066935</v>
      </c>
      <c r="F51" s="360">
        <f t="shared" si="43"/>
        <v>0.63324739208250358</v>
      </c>
      <c r="G51" s="360">
        <f t="shared" si="43"/>
        <v>0.65570003047366165</v>
      </c>
      <c r="H51" s="360">
        <f t="shared" si="43"/>
        <v>0.69044367657221839</v>
      </c>
      <c r="I51" s="360">
        <f t="shared" si="43"/>
        <v>1.7339989349220024</v>
      </c>
      <c r="J51" s="360">
        <f t="shared" si="43"/>
        <v>2.6063853611907688</v>
      </c>
      <c r="K51" s="360">
        <f t="shared" si="43"/>
        <v>3.4756624431858678</v>
      </c>
      <c r="L51" s="360">
        <f t="shared" si="43"/>
        <v>3.3008953086977306</v>
      </c>
      <c r="M51" s="360">
        <f t="shared" si="43"/>
        <v>3.2791664678495716</v>
      </c>
      <c r="N51" s="360">
        <f t="shared" si="43"/>
        <v>3.8369276751436447</v>
      </c>
      <c r="O51" s="360">
        <f t="shared" si="43"/>
        <v>2.4704507349071729</v>
      </c>
      <c r="P51" s="360">
        <f t="shared" si="43"/>
        <v>2.1759813418097691</v>
      </c>
      <c r="Q51" s="360">
        <f t="shared" si="43"/>
        <v>2.0291841580634231</v>
      </c>
      <c r="R51" s="360">
        <f t="shared" si="43"/>
        <v>2.6043516656836259</v>
      </c>
      <c r="S51" s="360">
        <f t="shared" si="43"/>
        <v>1.8888351415474627</v>
      </c>
      <c r="T51" s="360">
        <f t="shared" si="43"/>
        <v>2.1252088994582303</v>
      </c>
      <c r="U51" s="360">
        <f t="shared" si="43"/>
        <v>2.1954488569986963</v>
      </c>
      <c r="V51" s="360">
        <f t="shared" ref="V51" si="44">V46</f>
        <v>2.1526361476926219</v>
      </c>
    </row>
    <row r="52" spans="1:22">
      <c r="A52" t="s">
        <v>3015</v>
      </c>
      <c r="E52" s="360"/>
      <c r="F52" s="360"/>
      <c r="G52" s="360"/>
      <c r="H52" s="360"/>
      <c r="I52" s="360"/>
      <c r="J52" s="360"/>
      <c r="K52" s="360"/>
      <c r="L52" s="360"/>
      <c r="M52" s="360"/>
      <c r="N52" s="360"/>
      <c r="O52" s="360"/>
      <c r="P52" s="360"/>
      <c r="Q52" s="360"/>
      <c r="R52" s="360"/>
      <c r="S52" s="360"/>
      <c r="T52" s="360"/>
      <c r="U52" s="360"/>
      <c r="V52" s="360"/>
    </row>
  </sheetData>
  <pageMargins left="0.70866141732283472" right="0.70866141732283472" top="0.74803149606299213" bottom="0.74803149606299213" header="0.31496062992125984" footer="0.31496062992125984"/>
  <pageSetup paperSize="9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DA73-926C-4215-A550-20B3BF0ECA33}">
  <dimension ref="B1:X294"/>
  <sheetViews>
    <sheetView zoomScale="72" zoomScaleNormal="72" workbookViewId="0">
      <selection activeCell="J25" sqref="J25"/>
    </sheetView>
  </sheetViews>
  <sheetFormatPr defaultRowHeight="14.4"/>
  <cols>
    <col min="1" max="1" width="1.83984375" customWidth="1"/>
    <col min="2" max="2" width="1.578125" customWidth="1"/>
    <col min="3" max="3" width="30.15625" bestFit="1" customWidth="1"/>
    <col min="4" max="16" width="10.83984375" customWidth="1"/>
    <col min="18" max="21" width="9.26171875" bestFit="1" customWidth="1"/>
    <col min="22" max="22" width="9.68359375" bestFit="1" customWidth="1"/>
    <col min="24" max="24" width="9.68359375" bestFit="1" customWidth="1"/>
  </cols>
  <sheetData>
    <row r="1" spans="2:19">
      <c r="C1" s="95"/>
      <c r="D1" s="403"/>
      <c r="E1" s="650" t="s">
        <v>2547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2:19">
      <c r="B2" s="3"/>
      <c r="C2" s="272" t="s">
        <v>3334</v>
      </c>
      <c r="D2" s="272">
        <v>2018</v>
      </c>
      <c r="E2" s="272">
        <f t="shared" ref="E2:P2" si="0">D2+1</f>
        <v>2019</v>
      </c>
      <c r="F2" s="272">
        <f t="shared" si="0"/>
        <v>2020</v>
      </c>
      <c r="G2" s="272">
        <f t="shared" si="0"/>
        <v>2021</v>
      </c>
      <c r="H2" s="272">
        <f t="shared" si="0"/>
        <v>2022</v>
      </c>
      <c r="I2" s="272">
        <f t="shared" si="0"/>
        <v>2023</v>
      </c>
      <c r="J2" s="272">
        <f t="shared" si="0"/>
        <v>2024</v>
      </c>
      <c r="K2" s="272">
        <f t="shared" si="0"/>
        <v>2025</v>
      </c>
      <c r="L2" s="272">
        <f t="shared" si="0"/>
        <v>2026</v>
      </c>
      <c r="M2" s="272">
        <f t="shared" si="0"/>
        <v>2027</v>
      </c>
      <c r="N2" s="272">
        <f t="shared" si="0"/>
        <v>2028</v>
      </c>
      <c r="O2" s="272">
        <f t="shared" si="0"/>
        <v>2029</v>
      </c>
      <c r="P2" s="272">
        <f t="shared" si="0"/>
        <v>2030</v>
      </c>
      <c r="Q2" s="3"/>
    </row>
    <row r="3" spans="2:19">
      <c r="B3" s="3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3"/>
    </row>
    <row r="4" spans="2:19">
      <c r="B4" s="3"/>
      <c r="C4" s="3" t="s">
        <v>1275</v>
      </c>
      <c r="D4" s="87">
        <f t="shared" ref="D4:P4" si="1">D120</f>
        <v>1409458</v>
      </c>
      <c r="E4" s="87">
        <f t="shared" si="1"/>
        <v>1372647</v>
      </c>
      <c r="F4" s="87">
        <f t="shared" si="1"/>
        <v>1447289</v>
      </c>
      <c r="G4" s="87">
        <f t="shared" si="1"/>
        <v>1654931</v>
      </c>
      <c r="H4" s="87">
        <f t="shared" si="1"/>
        <v>1665003</v>
      </c>
      <c r="I4" s="87">
        <f t="shared" si="1"/>
        <v>1733870</v>
      </c>
      <c r="J4" s="87">
        <f t="shared" si="1"/>
        <v>1723969.9600000002</v>
      </c>
      <c r="K4" s="87">
        <f t="shared" si="1"/>
        <v>1755950.1251000001</v>
      </c>
      <c r="L4" s="87">
        <f t="shared" si="1"/>
        <v>1783591.6824310001</v>
      </c>
      <c r="M4" s="87">
        <f t="shared" si="1"/>
        <v>1811825.6170177101</v>
      </c>
      <c r="N4" s="87">
        <f t="shared" si="1"/>
        <v>1840667.3314831592</v>
      </c>
      <c r="O4" s="87">
        <f t="shared" si="1"/>
        <v>1870132.6668421209</v>
      </c>
      <c r="P4" s="87">
        <f t="shared" si="1"/>
        <v>1900237.9154159962</v>
      </c>
      <c r="Q4" s="3"/>
    </row>
    <row r="5" spans="2:19">
      <c r="B5" s="3"/>
      <c r="C5" s="3" t="s">
        <v>2493</v>
      </c>
      <c r="D5" s="87">
        <f t="shared" ref="D5:P5" si="2">D157</f>
        <v>498302</v>
      </c>
      <c r="E5" s="87">
        <f t="shared" si="2"/>
        <v>601399</v>
      </c>
      <c r="F5" s="87">
        <f t="shared" si="2"/>
        <v>644924</v>
      </c>
      <c r="G5" s="87">
        <f t="shared" si="2"/>
        <v>781691</v>
      </c>
      <c r="H5" s="87">
        <f t="shared" si="2"/>
        <v>899584</v>
      </c>
      <c r="I5" s="87">
        <f t="shared" si="2"/>
        <v>815778</v>
      </c>
      <c r="J5" s="87">
        <f t="shared" si="2"/>
        <v>886976.3928320827</v>
      </c>
      <c r="K5" s="87">
        <f t="shared" si="2"/>
        <v>914144.18006404571</v>
      </c>
      <c r="L5" s="87">
        <f t="shared" si="2"/>
        <v>938730.36847779388</v>
      </c>
      <c r="M5" s="87">
        <f t="shared" si="2"/>
        <v>964219.89795847354</v>
      </c>
      <c r="N5" s="87">
        <f t="shared" si="2"/>
        <v>1000023.3687023191</v>
      </c>
      <c r="O5" s="87">
        <f t="shared" si="2"/>
        <v>1036873.2903167349</v>
      </c>
      <c r="P5" s="87">
        <f t="shared" si="2"/>
        <v>1074797.1994482463</v>
      </c>
      <c r="Q5" s="3"/>
    </row>
    <row r="6" spans="2:19">
      <c r="B6" s="3"/>
      <c r="C6" s="2" t="s">
        <v>20</v>
      </c>
      <c r="D6" s="379">
        <f t="shared" ref="D6:I6" si="3">D7-D4-D5</f>
        <v>15200</v>
      </c>
      <c r="E6" s="379">
        <f t="shared" si="3"/>
        <v>15897</v>
      </c>
      <c r="F6" s="379">
        <f t="shared" si="3"/>
        <v>15846</v>
      </c>
      <c r="G6" s="379">
        <f t="shared" si="3"/>
        <v>13197</v>
      </c>
      <c r="H6" s="379">
        <f t="shared" si="3"/>
        <v>28023</v>
      </c>
      <c r="I6" s="379">
        <f t="shared" si="3"/>
        <v>23493</v>
      </c>
      <c r="J6" s="452">
        <v>23900</v>
      </c>
      <c r="K6" s="452">
        <f t="shared" ref="K6:P6" si="4">J6</f>
        <v>23900</v>
      </c>
      <c r="L6" s="452">
        <f t="shared" si="4"/>
        <v>23900</v>
      </c>
      <c r="M6" s="452">
        <f t="shared" si="4"/>
        <v>23900</v>
      </c>
      <c r="N6" s="452">
        <f t="shared" si="4"/>
        <v>23900</v>
      </c>
      <c r="O6" s="452">
        <f t="shared" si="4"/>
        <v>23900</v>
      </c>
      <c r="P6" s="452">
        <f t="shared" si="4"/>
        <v>23900</v>
      </c>
      <c r="Q6" s="3"/>
      <c r="R6" s="57"/>
    </row>
    <row r="7" spans="2:19">
      <c r="B7" s="3"/>
      <c r="C7" s="3" t="s">
        <v>143</v>
      </c>
      <c r="D7" s="266">
        <v>1922960</v>
      </c>
      <c r="E7" s="266">
        <f>2197543-201000-6600</f>
        <v>1989943</v>
      </c>
      <c r="F7" s="266">
        <f>'New Ints'!K13+'New Ints'!L13+'New Ints'!M13+'New Ints'!N13</f>
        <v>2108059</v>
      </c>
      <c r="G7" s="266">
        <f>'New Ints'!O13+'New Ints'!P13+'New Ints'!Q13+'New Ints'!R13</f>
        <v>2449819</v>
      </c>
      <c r="H7" s="266">
        <f>'New Ints'!S13+'New Ints'!T13+'New Ints'!U13+'New Ints'!V13</f>
        <v>2592610</v>
      </c>
      <c r="I7" s="266">
        <f>'New Ints'!Z13+'New Ints'!Y13+'New Ints'!X13+'New Ints'!W13</f>
        <v>2573141</v>
      </c>
      <c r="J7" s="87">
        <f t="shared" ref="J7:P7" si="5">SUM(J4:J6)</f>
        <v>2634846.3528320827</v>
      </c>
      <c r="K7" s="87">
        <f t="shared" si="5"/>
        <v>2693994.3051640457</v>
      </c>
      <c r="L7" s="87">
        <f t="shared" si="5"/>
        <v>2746222.0509087937</v>
      </c>
      <c r="M7" s="87">
        <f t="shared" si="5"/>
        <v>2799945.5149761839</v>
      </c>
      <c r="N7" s="87">
        <f t="shared" si="5"/>
        <v>2864590.7001854782</v>
      </c>
      <c r="O7" s="87">
        <f t="shared" si="5"/>
        <v>2930905.9571588561</v>
      </c>
      <c r="P7" s="87">
        <f t="shared" si="5"/>
        <v>2998935.1148642423</v>
      </c>
      <c r="Q7" s="3"/>
    </row>
    <row r="8" spans="2:19">
      <c r="B8" s="3"/>
      <c r="C8" s="3" t="s">
        <v>63</v>
      </c>
      <c r="D8" s="87"/>
      <c r="E8" s="8">
        <f t="shared" ref="E8:P8" si="6">E7/D7-1</f>
        <v>3.4833277863294043E-2</v>
      </c>
      <c r="F8" s="8">
        <f t="shared" si="6"/>
        <v>5.9356474029658157E-2</v>
      </c>
      <c r="G8" s="8">
        <f t="shared" si="6"/>
        <v>0.16212069965783682</v>
      </c>
      <c r="H8" s="8">
        <f t="shared" si="6"/>
        <v>5.8286346868891226E-2</v>
      </c>
      <c r="I8" s="8">
        <f t="shared" si="6"/>
        <v>-7.5094210081732005E-3</v>
      </c>
      <c r="J8" s="8">
        <f t="shared" si="6"/>
        <v>2.3980556383067508E-2</v>
      </c>
      <c r="K8" s="8">
        <f t="shared" si="6"/>
        <v>2.2448349699172088E-2</v>
      </c>
      <c r="L8" s="8">
        <f t="shared" si="6"/>
        <v>1.9386732052341094E-2</v>
      </c>
      <c r="M8" s="8">
        <f t="shared" si="6"/>
        <v>1.9562680319172188E-2</v>
      </c>
      <c r="N8" s="8">
        <f t="shared" si="6"/>
        <v>2.3088015414415741E-2</v>
      </c>
      <c r="O8" s="8">
        <f t="shared" si="6"/>
        <v>2.3149993808568858E-2</v>
      </c>
      <c r="P8" s="8">
        <f t="shared" si="6"/>
        <v>2.3210965721783827E-2</v>
      </c>
      <c r="Q8" s="3"/>
    </row>
    <row r="9" spans="2:19">
      <c r="B9" s="3"/>
      <c r="C9" s="3"/>
      <c r="D9" s="87"/>
      <c r="E9" s="8"/>
      <c r="F9" s="8"/>
      <c r="G9" s="8"/>
      <c r="H9" s="8"/>
      <c r="I9" s="8"/>
      <c r="J9" s="457">
        <v>2668000</v>
      </c>
      <c r="K9" s="457">
        <v>2738000</v>
      </c>
      <c r="L9" s="457">
        <v>2859000</v>
      </c>
      <c r="M9" s="8"/>
      <c r="N9" s="8"/>
      <c r="O9" s="8"/>
      <c r="P9" s="8"/>
      <c r="Q9" s="3"/>
    </row>
    <row r="10" spans="2:19">
      <c r="B10" s="3"/>
      <c r="C10" s="3"/>
      <c r="D10" s="87"/>
      <c r="E10" s="87"/>
      <c r="F10" s="87"/>
      <c r="G10" s="87"/>
      <c r="H10" s="87"/>
      <c r="I10" s="87"/>
      <c r="J10" s="484">
        <f>J7/J9-1</f>
        <v>-1.2426404485726184E-2</v>
      </c>
      <c r="K10" s="484">
        <f>K7/K9-1</f>
        <v>-1.6072204103708687E-2</v>
      </c>
      <c r="L10" s="484">
        <f>L7/L9-1</f>
        <v>-3.9446641864710141E-2</v>
      </c>
      <c r="M10" s="87"/>
      <c r="N10" s="87"/>
      <c r="O10" s="87"/>
      <c r="P10" s="87"/>
      <c r="Q10" s="3"/>
    </row>
    <row r="11" spans="2:19">
      <c r="B11" s="3"/>
      <c r="C11" s="3" t="s">
        <v>132</v>
      </c>
      <c r="D11" s="87">
        <f t="shared" ref="D11:P11" si="7">D131</f>
        <v>474828</v>
      </c>
      <c r="E11" s="87">
        <f t="shared" si="7"/>
        <v>514843.5</v>
      </c>
      <c r="F11" s="87">
        <f t="shared" si="7"/>
        <v>577326</v>
      </c>
      <c r="G11" s="87">
        <f t="shared" si="7"/>
        <v>635027</v>
      </c>
      <c r="H11" s="87">
        <f t="shared" si="7"/>
        <v>1045264</v>
      </c>
      <c r="I11" s="87">
        <f t="shared" si="7"/>
        <v>592298</v>
      </c>
      <c r="J11" s="87">
        <f>J131</f>
        <v>525810.8378000001</v>
      </c>
      <c r="K11" s="87">
        <f t="shared" si="7"/>
        <v>544344.53878100007</v>
      </c>
      <c r="L11" s="87">
        <f t="shared" si="7"/>
        <v>570749.33837791998</v>
      </c>
      <c r="M11" s="87">
        <f t="shared" si="7"/>
        <v>597902.45361584437</v>
      </c>
      <c r="N11" s="87">
        <f t="shared" si="7"/>
        <v>625826.89270427416</v>
      </c>
      <c r="O11" s="87">
        <f t="shared" si="7"/>
        <v>654546.43339474231</v>
      </c>
      <c r="P11" s="87">
        <f t="shared" si="7"/>
        <v>684085.64954975864</v>
      </c>
      <c r="Q11" s="3"/>
    </row>
    <row r="12" spans="2:19">
      <c r="B12" s="3"/>
      <c r="C12" s="3" t="s">
        <v>30</v>
      </c>
      <c r="D12" s="87">
        <f t="shared" ref="D12:P12" si="8">D160</f>
        <v>-50741</v>
      </c>
      <c r="E12" s="87">
        <f t="shared" si="8"/>
        <v>126476</v>
      </c>
      <c r="F12" s="87">
        <f t="shared" si="8"/>
        <v>103609</v>
      </c>
      <c r="G12" s="87">
        <f t="shared" si="8"/>
        <v>134019</v>
      </c>
      <c r="H12" s="87">
        <f t="shared" si="8"/>
        <v>233926</v>
      </c>
      <c r="I12" s="87">
        <f t="shared" si="8"/>
        <v>165432</v>
      </c>
      <c r="J12" s="87">
        <f t="shared" si="8"/>
        <v>221744.09820802067</v>
      </c>
      <c r="K12" s="87">
        <f t="shared" si="8"/>
        <v>237677.48681665189</v>
      </c>
      <c r="L12" s="87">
        <f t="shared" si="8"/>
        <v>253457.19948900436</v>
      </c>
      <c r="M12" s="87">
        <f t="shared" si="8"/>
        <v>269981.57142837264</v>
      </c>
      <c r="N12" s="87">
        <f t="shared" si="8"/>
        <v>285006.660080161</v>
      </c>
      <c r="O12" s="87">
        <f t="shared" si="8"/>
        <v>300693.25419185316</v>
      </c>
      <c r="P12" s="87">
        <f t="shared" si="8"/>
        <v>317065.17383723269</v>
      </c>
      <c r="Q12" s="3"/>
    </row>
    <row r="13" spans="2:19">
      <c r="B13" s="3"/>
      <c r="C13" s="2" t="s">
        <v>20</v>
      </c>
      <c r="D13" s="452">
        <v>2585</v>
      </c>
      <c r="E13" s="452">
        <v>129092</v>
      </c>
      <c r="F13" s="379">
        <f>F14-F11-F12</f>
        <v>3296</v>
      </c>
      <c r="G13" s="379">
        <f>G14-G11-G12</f>
        <v>3407</v>
      </c>
      <c r="H13" s="379">
        <f>H14-H11-H12</f>
        <v>2823</v>
      </c>
      <c r="I13" s="379">
        <f>I14-I11-I12</f>
        <v>4832</v>
      </c>
      <c r="J13" s="452">
        <v>4950</v>
      </c>
      <c r="K13" s="452">
        <f t="shared" ref="K13:P13" si="9">J13</f>
        <v>4950</v>
      </c>
      <c r="L13" s="452">
        <f t="shared" si="9"/>
        <v>4950</v>
      </c>
      <c r="M13" s="452">
        <f t="shared" si="9"/>
        <v>4950</v>
      </c>
      <c r="N13" s="452">
        <f t="shared" si="9"/>
        <v>4950</v>
      </c>
      <c r="O13" s="452">
        <f t="shared" si="9"/>
        <v>4950</v>
      </c>
      <c r="P13" s="452">
        <f t="shared" si="9"/>
        <v>4950</v>
      </c>
      <c r="Q13" s="3"/>
      <c r="R13" s="57"/>
    </row>
    <row r="14" spans="2:19">
      <c r="B14" s="3"/>
      <c r="C14" s="3" t="s">
        <v>2512</v>
      </c>
      <c r="D14" s="266">
        <v>426921</v>
      </c>
      <c r="E14" s="266">
        <v>770441</v>
      </c>
      <c r="F14" s="266">
        <f>'New Ints'!K42+'New Ints'!L42+'New Ints'!M42+'New Ints'!N42</f>
        <v>684231</v>
      </c>
      <c r="G14" s="266">
        <f>'New Ints'!O42+'New Ints'!P42+'New Ints'!Q42+'New Ints'!R42</f>
        <v>772453</v>
      </c>
      <c r="H14" s="266">
        <f>'New Ints'!S42+'New Ints'!T42+'New Ints'!U42+'New Ints'!V42</f>
        <v>1282013</v>
      </c>
      <c r="I14" s="266">
        <f>'New Ints'!W42+'New Ints'!X42+'New Ints'!Y42+'New Ints'!Z42</f>
        <v>762562</v>
      </c>
      <c r="J14" s="87">
        <f t="shared" ref="J14:P14" si="10">SUM(J11:J13)</f>
        <v>752504.93600802077</v>
      </c>
      <c r="K14" s="87">
        <f t="shared" si="10"/>
        <v>786972.02559765195</v>
      </c>
      <c r="L14" s="87">
        <f t="shared" si="10"/>
        <v>829156.53786692431</v>
      </c>
      <c r="M14" s="87">
        <f t="shared" si="10"/>
        <v>872834.02504421701</v>
      </c>
      <c r="N14" s="87">
        <f t="shared" si="10"/>
        <v>915783.55278443522</v>
      </c>
      <c r="O14" s="87">
        <f t="shared" si="10"/>
        <v>960189.68758659554</v>
      </c>
      <c r="P14" s="87">
        <f t="shared" si="10"/>
        <v>1006100.8233869914</v>
      </c>
      <c r="Q14" s="3"/>
    </row>
    <row r="15" spans="2:19">
      <c r="B15" s="3"/>
      <c r="C15" s="3"/>
      <c r="D15" s="87"/>
      <c r="E15" s="87"/>
      <c r="F15" s="87"/>
      <c r="G15" s="87"/>
      <c r="H15" s="87"/>
      <c r="I15" s="87"/>
      <c r="J15" s="457">
        <v>747500</v>
      </c>
      <c r="K15" s="457">
        <v>780000</v>
      </c>
      <c r="L15" s="457">
        <v>830000</v>
      </c>
      <c r="M15" s="87"/>
      <c r="N15" s="87"/>
      <c r="O15" s="87"/>
      <c r="P15" s="87"/>
      <c r="Q15" s="3"/>
      <c r="S15" s="654"/>
    </row>
    <row r="16" spans="2:19">
      <c r="B16" s="3"/>
      <c r="C16" s="3" t="s">
        <v>2501</v>
      </c>
      <c r="D16" s="87"/>
      <c r="E16" s="87"/>
      <c r="F16" s="87"/>
      <c r="G16" s="87"/>
      <c r="H16" s="87"/>
      <c r="I16" s="87"/>
      <c r="J16" s="484">
        <f>J14/J15-1</f>
        <v>6.6955665659140795E-3</v>
      </c>
      <c r="K16" s="484">
        <f t="shared" ref="K16:L16" si="11">K14/K15-1</f>
        <v>8.9384943559640551E-3</v>
      </c>
      <c r="L16" s="484">
        <f t="shared" si="11"/>
        <v>-1.0162194374405686E-3</v>
      </c>
      <c r="M16" s="87"/>
      <c r="N16" s="87"/>
      <c r="O16" s="87"/>
      <c r="P16" s="87"/>
      <c r="Q16" s="3"/>
      <c r="S16" s="166"/>
    </row>
    <row r="17" spans="2:19">
      <c r="B17" s="3"/>
      <c r="C17" s="3" t="s">
        <v>132</v>
      </c>
      <c r="D17" s="87"/>
      <c r="E17" s="87">
        <v>0</v>
      </c>
      <c r="F17" s="266">
        <f>SUM('New Ints'!K50:N50)</f>
        <v>30200</v>
      </c>
      <c r="G17" s="266">
        <v>12900</v>
      </c>
      <c r="H17" s="266">
        <f>'New Ints'!T50+'New Ints'!S50</f>
        <v>479100</v>
      </c>
      <c r="I17" s="266">
        <f>SUM('New Ints'!W50:Z50)</f>
        <v>47800</v>
      </c>
      <c r="J17" s="87"/>
      <c r="K17" s="87"/>
      <c r="L17" s="87"/>
      <c r="M17" s="87"/>
      <c r="N17" s="87"/>
      <c r="O17" s="87"/>
      <c r="P17" s="87"/>
      <c r="Q17" s="3"/>
      <c r="S17" s="166"/>
    </row>
    <row r="18" spans="2:19">
      <c r="B18" s="3"/>
      <c r="C18" s="3" t="s">
        <v>30</v>
      </c>
      <c r="D18" s="87"/>
      <c r="E18" s="87">
        <f>'New Ints'!J52</f>
        <v>80407.5</v>
      </c>
      <c r="F18" s="266">
        <f>SUM('New Ints'!K52:N52)</f>
        <v>11788</v>
      </c>
      <c r="G18" s="266">
        <v>2000</v>
      </c>
      <c r="H18" s="266">
        <f>'New Ints'!U52</f>
        <v>54307</v>
      </c>
      <c r="I18" s="266">
        <f>SUM('New Ints'!W52:Z52)</f>
        <v>-36628</v>
      </c>
      <c r="J18" s="87"/>
      <c r="K18" s="87"/>
      <c r="L18" s="87"/>
      <c r="M18" s="87"/>
      <c r="N18" s="87"/>
      <c r="O18" s="87"/>
      <c r="P18" s="87"/>
      <c r="Q18" s="3"/>
      <c r="S18" s="166"/>
    </row>
    <row r="19" spans="2:19">
      <c r="B19" s="3"/>
      <c r="C19" s="2" t="s">
        <v>20</v>
      </c>
      <c r="D19" s="379"/>
      <c r="E19" s="379">
        <f>E20-E18</f>
        <v>116609.5</v>
      </c>
      <c r="F19" s="452">
        <f>SUM('New Ints'!K53:N53)</f>
        <v>0</v>
      </c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"/>
      <c r="S19" s="166"/>
    </row>
    <row r="20" spans="2:19">
      <c r="B20" s="3"/>
      <c r="C20" s="3" t="s">
        <v>68</v>
      </c>
      <c r="D20" s="266">
        <v>0</v>
      </c>
      <c r="E20" s="266">
        <f>195400+6600-(6.6*Interims!BB288)</f>
        <v>197017</v>
      </c>
      <c r="F20" s="87">
        <f>SUM(F17:F19)</f>
        <v>41988</v>
      </c>
      <c r="G20" s="87">
        <f>SUM(G17:G19)</f>
        <v>14900</v>
      </c>
      <c r="H20" s="87">
        <f>SUM(H17:H19)</f>
        <v>533407</v>
      </c>
      <c r="I20" s="87">
        <f>SUM(I17:I19)</f>
        <v>11172</v>
      </c>
      <c r="J20" s="266">
        <v>0</v>
      </c>
      <c r="K20" s="266">
        <v>0</v>
      </c>
      <c r="L20" s="266">
        <v>0</v>
      </c>
      <c r="M20" s="266">
        <v>0</v>
      </c>
      <c r="N20" s="266">
        <v>0</v>
      </c>
      <c r="O20" s="266">
        <v>0</v>
      </c>
      <c r="P20" s="266">
        <v>0</v>
      </c>
      <c r="Q20" s="3"/>
    </row>
    <row r="21" spans="2:19">
      <c r="B21" s="3"/>
      <c r="C21" s="3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3"/>
    </row>
    <row r="22" spans="2:19">
      <c r="B22" s="3"/>
      <c r="C22" s="3" t="str">
        <f>C17</f>
        <v>Chile</v>
      </c>
      <c r="D22" s="87">
        <f t="shared" ref="D22:P22" si="12">D11-D17</f>
        <v>474828</v>
      </c>
      <c r="E22" s="87">
        <f t="shared" si="12"/>
        <v>514843.5</v>
      </c>
      <c r="F22" s="87">
        <f t="shared" si="12"/>
        <v>547126</v>
      </c>
      <c r="G22" s="87">
        <f t="shared" ref="G22" si="13">G11-G17</f>
        <v>622127</v>
      </c>
      <c r="H22" s="87">
        <f t="shared" si="12"/>
        <v>566164</v>
      </c>
      <c r="I22" s="87">
        <f t="shared" si="12"/>
        <v>544498</v>
      </c>
      <c r="J22" s="87">
        <f>J11-J17</f>
        <v>525810.8378000001</v>
      </c>
      <c r="K22" s="87">
        <f t="shared" si="12"/>
        <v>544344.53878100007</v>
      </c>
      <c r="L22" s="87">
        <f t="shared" si="12"/>
        <v>570749.33837791998</v>
      </c>
      <c r="M22" s="87">
        <f t="shared" si="12"/>
        <v>597902.45361584437</v>
      </c>
      <c r="N22" s="87">
        <f t="shared" si="12"/>
        <v>625826.89270427416</v>
      </c>
      <c r="O22" s="87">
        <f t="shared" si="12"/>
        <v>654546.43339474231</v>
      </c>
      <c r="P22" s="87">
        <f t="shared" si="12"/>
        <v>684085.64954975864</v>
      </c>
      <c r="Q22" s="3"/>
      <c r="R22" s="57"/>
    </row>
    <row r="23" spans="2:19">
      <c r="B23" s="3"/>
      <c r="C23" s="3" t="str">
        <f>C18</f>
        <v>Peru</v>
      </c>
      <c r="D23" s="87">
        <f t="shared" ref="D23:P23" si="14">D12-D18</f>
        <v>-50741</v>
      </c>
      <c r="E23" s="87">
        <f t="shared" si="14"/>
        <v>46068.5</v>
      </c>
      <c r="F23" s="87">
        <f t="shared" si="14"/>
        <v>91821</v>
      </c>
      <c r="G23" s="87">
        <f t="shared" ref="G23" si="15">G12-G18</f>
        <v>132019</v>
      </c>
      <c r="H23" s="87">
        <f t="shared" si="14"/>
        <v>179619</v>
      </c>
      <c r="I23" s="87">
        <f t="shared" si="14"/>
        <v>202060</v>
      </c>
      <c r="J23" s="87">
        <f t="shared" si="14"/>
        <v>221744.09820802067</v>
      </c>
      <c r="K23" s="87">
        <f t="shared" si="14"/>
        <v>237677.48681665189</v>
      </c>
      <c r="L23" s="87">
        <f t="shared" si="14"/>
        <v>253457.19948900436</v>
      </c>
      <c r="M23" s="87">
        <f t="shared" si="14"/>
        <v>269981.57142837264</v>
      </c>
      <c r="N23" s="87">
        <f t="shared" si="14"/>
        <v>285006.660080161</v>
      </c>
      <c r="O23" s="87">
        <f t="shared" si="14"/>
        <v>300693.25419185316</v>
      </c>
      <c r="P23" s="87">
        <f t="shared" si="14"/>
        <v>317065.17383723269</v>
      </c>
      <c r="Q23" s="3"/>
    </row>
    <row r="24" spans="2:19">
      <c r="B24" s="3"/>
      <c r="C24" s="2" t="s">
        <v>20</v>
      </c>
      <c r="D24" s="379">
        <f t="shared" ref="D24:P24" si="16">D13-D19</f>
        <v>2585</v>
      </c>
      <c r="E24" s="379">
        <f t="shared" si="16"/>
        <v>12482.5</v>
      </c>
      <c r="F24" s="379">
        <f t="shared" si="16"/>
        <v>3296</v>
      </c>
      <c r="G24" s="379">
        <f t="shared" ref="G24" si="17">G13-G19</f>
        <v>3407</v>
      </c>
      <c r="H24" s="379">
        <f t="shared" si="16"/>
        <v>2823</v>
      </c>
      <c r="I24" s="379">
        <f t="shared" si="16"/>
        <v>4832</v>
      </c>
      <c r="J24" s="379">
        <f>J13-J19</f>
        <v>4950</v>
      </c>
      <c r="K24" s="379">
        <f t="shared" si="16"/>
        <v>4950</v>
      </c>
      <c r="L24" s="379">
        <f t="shared" si="16"/>
        <v>4950</v>
      </c>
      <c r="M24" s="379">
        <f t="shared" si="16"/>
        <v>4950</v>
      </c>
      <c r="N24" s="379">
        <f t="shared" si="16"/>
        <v>4950</v>
      </c>
      <c r="O24" s="379">
        <f t="shared" si="16"/>
        <v>4950</v>
      </c>
      <c r="P24" s="379">
        <f t="shared" si="16"/>
        <v>4950</v>
      </c>
      <c r="Q24" s="3"/>
    </row>
    <row r="25" spans="2:19">
      <c r="B25" s="3"/>
      <c r="C25" s="3" t="s">
        <v>2513</v>
      </c>
      <c r="D25" s="87">
        <f t="shared" ref="D25:P25" si="18">D14-D20</f>
        <v>426921</v>
      </c>
      <c r="E25" s="87">
        <f t="shared" si="18"/>
        <v>573424</v>
      </c>
      <c r="F25" s="87">
        <f t="shared" si="18"/>
        <v>642243</v>
      </c>
      <c r="G25" s="87">
        <f t="shared" ref="G25" si="19">G14-G20</f>
        <v>757553</v>
      </c>
      <c r="H25" s="87">
        <f t="shared" si="18"/>
        <v>748606</v>
      </c>
      <c r="I25" s="87">
        <f t="shared" si="18"/>
        <v>751390</v>
      </c>
      <c r="J25" s="87">
        <f t="shared" si="18"/>
        <v>752504.93600802077</v>
      </c>
      <c r="K25" s="87">
        <f t="shared" si="18"/>
        <v>786972.02559765195</v>
      </c>
      <c r="L25" s="87">
        <f t="shared" si="18"/>
        <v>829156.53786692431</v>
      </c>
      <c r="M25" s="87">
        <f t="shared" si="18"/>
        <v>872834.02504421701</v>
      </c>
      <c r="N25" s="87">
        <f t="shared" si="18"/>
        <v>915783.55278443522</v>
      </c>
      <c r="O25" s="87">
        <f t="shared" si="18"/>
        <v>960189.68758659554</v>
      </c>
      <c r="P25" s="87">
        <f t="shared" si="18"/>
        <v>1006100.8233869914</v>
      </c>
      <c r="Q25" s="3"/>
    </row>
    <row r="26" spans="2:19">
      <c r="B26" s="3"/>
      <c r="C26" s="3" t="s">
        <v>63</v>
      </c>
      <c r="D26" s="87"/>
      <c r="E26" s="8">
        <f t="shared" ref="E26:P26" si="20">E25/D25-1</f>
        <v>0.34316184961620544</v>
      </c>
      <c r="F26" s="8">
        <f t="shared" si="20"/>
        <v>0.12001416055135472</v>
      </c>
      <c r="G26" s="8">
        <f t="shared" si="20"/>
        <v>0.17954263417429228</v>
      </c>
      <c r="H26" s="8">
        <f t="shared" si="20"/>
        <v>-1.181039478425927E-2</v>
      </c>
      <c r="I26" s="8">
        <f t="shared" si="20"/>
        <v>3.718912218176218E-3</v>
      </c>
      <c r="J26" s="8">
        <f t="shared" si="20"/>
        <v>1.4838313099998501E-3</v>
      </c>
      <c r="K26" s="8">
        <f t="shared" si="20"/>
        <v>4.58031408703794E-2</v>
      </c>
      <c r="L26" s="8">
        <f t="shared" si="20"/>
        <v>5.3603572804555633E-2</v>
      </c>
      <c r="M26" s="8">
        <f t="shared" si="20"/>
        <v>5.2677009928254082E-2</v>
      </c>
      <c r="N26" s="8">
        <f t="shared" si="20"/>
        <v>4.9206981519816839E-2</v>
      </c>
      <c r="O26" s="8">
        <f t="shared" si="20"/>
        <v>4.8489771045945984E-2</v>
      </c>
      <c r="P26" s="8">
        <f t="shared" si="20"/>
        <v>4.7814652035882643E-2</v>
      </c>
      <c r="Q26" s="3"/>
    </row>
    <row r="27" spans="2:19">
      <c r="B27" s="3"/>
      <c r="C27" s="3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3"/>
    </row>
    <row r="28" spans="2:19">
      <c r="B28" s="3"/>
      <c r="C28" s="3" t="s">
        <v>2602</v>
      </c>
      <c r="D28" s="87"/>
      <c r="E28" s="87">
        <f>'New Ints'!J84</f>
        <v>83158</v>
      </c>
      <c r="F28" s="87">
        <f>'New Ints'!N84</f>
        <v>110573</v>
      </c>
      <c r="G28" s="266">
        <v>117000</v>
      </c>
      <c r="H28" s="266">
        <v>134864</v>
      </c>
      <c r="I28" s="266">
        <v>143608</v>
      </c>
      <c r="J28" s="87">
        <f t="shared" ref="J28:P28" si="21">J136+J166</f>
        <v>150788.4</v>
      </c>
      <c r="K28" s="87">
        <f t="shared" si="21"/>
        <v>158327.82</v>
      </c>
      <c r="L28" s="87">
        <f t="shared" si="21"/>
        <v>166244.21100000001</v>
      </c>
      <c r="M28" s="87">
        <f t="shared" si="21"/>
        <v>174556.42155000003</v>
      </c>
      <c r="N28" s="87">
        <f t="shared" si="21"/>
        <v>183284.24262750003</v>
      </c>
      <c r="O28" s="87">
        <f t="shared" si="21"/>
        <v>192448.45475887504</v>
      </c>
      <c r="P28" s="87">
        <f t="shared" si="21"/>
        <v>202070.87749681881</v>
      </c>
      <c r="Q28" s="3"/>
    </row>
    <row r="29" spans="2:19">
      <c r="B29" s="3"/>
      <c r="C29" s="3" t="s">
        <v>2506</v>
      </c>
      <c r="D29" s="87"/>
      <c r="E29" s="87">
        <f>E25-E28</f>
        <v>490266</v>
      </c>
      <c r="F29" s="87">
        <f t="shared" ref="F29:P29" si="22">F25-F28</f>
        <v>531670</v>
      </c>
      <c r="G29" s="87">
        <f t="shared" si="22"/>
        <v>640553</v>
      </c>
      <c r="H29" s="87">
        <f t="shared" si="22"/>
        <v>613742</v>
      </c>
      <c r="I29" s="87">
        <f t="shared" si="22"/>
        <v>607782</v>
      </c>
      <c r="J29" s="87">
        <f t="shared" si="22"/>
        <v>601716.53600802075</v>
      </c>
      <c r="K29" s="87">
        <f t="shared" si="22"/>
        <v>628644.20559765189</v>
      </c>
      <c r="L29" s="87">
        <f t="shared" si="22"/>
        <v>662912.3268669243</v>
      </c>
      <c r="M29" s="87">
        <f t="shared" si="22"/>
        <v>698277.60349421692</v>
      </c>
      <c r="N29" s="87">
        <f t="shared" si="22"/>
        <v>732499.31015693513</v>
      </c>
      <c r="O29" s="87">
        <f t="shared" si="22"/>
        <v>767741.23282772047</v>
      </c>
      <c r="P29" s="87">
        <f t="shared" si="22"/>
        <v>804029.94589017262</v>
      </c>
      <c r="Q29" s="3"/>
    </row>
    <row r="30" spans="2:19">
      <c r="B30" s="3"/>
      <c r="C30" s="3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3"/>
    </row>
    <row r="31" spans="2:19">
      <c r="B31" s="3"/>
      <c r="C31" s="3" t="str">
        <f>C22</f>
        <v>Chile</v>
      </c>
      <c r="D31" s="8">
        <f t="shared" ref="D31:P31" si="23">D22/D4</f>
        <v>0.33688694519453577</v>
      </c>
      <c r="E31" s="8">
        <f t="shared" si="23"/>
        <v>0.37507348939676405</v>
      </c>
      <c r="F31" s="8">
        <f t="shared" si="23"/>
        <v>0.3780350710880826</v>
      </c>
      <c r="G31" s="8">
        <f t="shared" ref="G31" si="24">G22/G4</f>
        <v>0.37592322580216336</v>
      </c>
      <c r="H31" s="8">
        <f t="shared" si="23"/>
        <v>0.34003782575767133</v>
      </c>
      <c r="I31" s="8">
        <f t="shared" si="23"/>
        <v>0.31403623108998946</v>
      </c>
      <c r="J31" s="8">
        <f t="shared" si="23"/>
        <v>0.30499999999999999</v>
      </c>
      <c r="K31" s="8">
        <f t="shared" si="23"/>
        <v>0.31000000000000005</v>
      </c>
      <c r="L31" s="8">
        <f t="shared" si="23"/>
        <v>0.32</v>
      </c>
      <c r="M31" s="8">
        <f t="shared" si="23"/>
        <v>0.33</v>
      </c>
      <c r="N31" s="8">
        <f t="shared" si="23"/>
        <v>0.34</v>
      </c>
      <c r="O31" s="8">
        <f t="shared" si="23"/>
        <v>0.35</v>
      </c>
      <c r="P31" s="8">
        <f t="shared" si="23"/>
        <v>0.36</v>
      </c>
      <c r="Q31" s="3"/>
    </row>
    <row r="32" spans="2:19">
      <c r="B32" s="3"/>
      <c r="C32" s="3" t="str">
        <f>C23</f>
        <v>Peru</v>
      </c>
      <c r="D32" s="8">
        <f t="shared" ref="D32:P32" si="25">D23/D5</f>
        <v>-0.1018278072333645</v>
      </c>
      <c r="E32" s="8">
        <f t="shared" si="25"/>
        <v>7.6602222484573476E-2</v>
      </c>
      <c r="F32" s="8">
        <f t="shared" si="25"/>
        <v>0.14237491549391867</v>
      </c>
      <c r="G32" s="8">
        <f t="shared" ref="G32" si="26">G23/G5</f>
        <v>0.16888898554543932</v>
      </c>
      <c r="H32" s="8">
        <f t="shared" si="25"/>
        <v>0.19966895809618668</v>
      </c>
      <c r="I32" s="8">
        <f t="shared" si="25"/>
        <v>0.24768993525199257</v>
      </c>
      <c r="J32" s="8">
        <f t="shared" si="25"/>
        <v>0.25</v>
      </c>
      <c r="K32" s="8">
        <f t="shared" si="25"/>
        <v>0.26</v>
      </c>
      <c r="L32" s="8">
        <f t="shared" si="25"/>
        <v>0.27</v>
      </c>
      <c r="M32" s="8">
        <f t="shared" si="25"/>
        <v>0.28000000000000003</v>
      </c>
      <c r="N32" s="8">
        <f t="shared" si="25"/>
        <v>0.28500000000000009</v>
      </c>
      <c r="O32" s="8">
        <f t="shared" si="25"/>
        <v>0.29000000000000004</v>
      </c>
      <c r="P32" s="8">
        <f t="shared" si="25"/>
        <v>0.29500000000000004</v>
      </c>
      <c r="Q32" s="3"/>
    </row>
    <row r="33" spans="2:18">
      <c r="B33" s="3"/>
      <c r="C33" s="2" t="str">
        <f>C24</f>
        <v>Other</v>
      </c>
      <c r="D33" s="83">
        <f t="shared" ref="D33:P33" si="27">D24/D6</f>
        <v>0.1700657894736842</v>
      </c>
      <c r="E33" s="83">
        <f t="shared" si="27"/>
        <v>0.78521104610932879</v>
      </c>
      <c r="F33" s="83">
        <f t="shared" si="27"/>
        <v>0.20800201943708191</v>
      </c>
      <c r="G33" s="83">
        <f t="shared" ref="G33" si="28">G24/G6</f>
        <v>0.25816473440933546</v>
      </c>
      <c r="H33" s="83">
        <f t="shared" si="27"/>
        <v>0.1007386789422974</v>
      </c>
      <c r="I33" s="83">
        <f t="shared" si="27"/>
        <v>0.20567828714936365</v>
      </c>
      <c r="J33" s="83">
        <f t="shared" si="27"/>
        <v>0.20711297071129708</v>
      </c>
      <c r="K33" s="83">
        <f t="shared" si="27"/>
        <v>0.20711297071129708</v>
      </c>
      <c r="L33" s="83">
        <f t="shared" si="27"/>
        <v>0.20711297071129708</v>
      </c>
      <c r="M33" s="83">
        <f t="shared" si="27"/>
        <v>0.20711297071129708</v>
      </c>
      <c r="N33" s="83">
        <f t="shared" si="27"/>
        <v>0.20711297071129708</v>
      </c>
      <c r="O33" s="83">
        <f t="shared" si="27"/>
        <v>0.20711297071129708</v>
      </c>
      <c r="P33" s="83">
        <f t="shared" si="27"/>
        <v>0.20711297071129708</v>
      </c>
      <c r="Q33" s="3"/>
    </row>
    <row r="34" spans="2:18">
      <c r="B34" s="3"/>
      <c r="C34" s="3" t="s">
        <v>1645</v>
      </c>
      <c r="D34" s="8">
        <f t="shared" ref="D34:P34" si="29">D25/D7</f>
        <v>0.22201241835503599</v>
      </c>
      <c r="E34" s="8">
        <f t="shared" si="29"/>
        <v>0.28816101767739077</v>
      </c>
      <c r="F34" s="8">
        <f t="shared" si="29"/>
        <v>0.30466082780415538</v>
      </c>
      <c r="G34" s="8">
        <f t="shared" ref="G34" si="30">G25/G7</f>
        <v>0.30922815114096186</v>
      </c>
      <c r="H34" s="8">
        <f t="shared" si="29"/>
        <v>0.28874608984768246</v>
      </c>
      <c r="I34" s="8">
        <f t="shared" si="29"/>
        <v>0.29201275794835962</v>
      </c>
      <c r="J34" s="8">
        <f t="shared" si="29"/>
        <v>0.28559727408741908</v>
      </c>
      <c r="K34" s="8">
        <f t="shared" si="29"/>
        <v>0.29212089427550991</v>
      </c>
      <c r="L34" s="8">
        <f t="shared" si="29"/>
        <v>0.30192625450390498</v>
      </c>
      <c r="M34" s="8">
        <f t="shared" si="29"/>
        <v>0.31173250349896231</v>
      </c>
      <c r="N34" s="8">
        <f t="shared" si="29"/>
        <v>0.31969089082260149</v>
      </c>
      <c r="O34" s="8">
        <f t="shared" si="29"/>
        <v>0.32760849430917205</v>
      </c>
      <c r="P34" s="8">
        <f t="shared" si="29"/>
        <v>0.33548602582304826</v>
      </c>
      <c r="Q34" s="3"/>
    </row>
    <row r="35" spans="2:18">
      <c r="B35" s="3"/>
      <c r="C35" s="3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3"/>
    </row>
    <row r="36" spans="2:18">
      <c r="B36" s="3"/>
      <c r="C36" s="3" t="s">
        <v>2545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3"/>
    </row>
    <row r="37" spans="2:18">
      <c r="B37" s="3"/>
      <c r="C37" s="3" t="str">
        <f>C22</f>
        <v>Chile</v>
      </c>
      <c r="D37" s="87"/>
      <c r="E37" s="87">
        <f>E141</f>
        <v>280817</v>
      </c>
      <c r="F37" s="87">
        <f>F141</f>
        <v>273533</v>
      </c>
      <c r="G37" s="87">
        <f>G141</f>
        <v>352945</v>
      </c>
      <c r="H37" s="87">
        <f>H141</f>
        <v>392940</v>
      </c>
      <c r="I37" s="87">
        <f>I141</f>
        <v>342171</v>
      </c>
      <c r="J37" s="87">
        <f t="shared" ref="J37:P38" si="31">J47*J$175</f>
        <v>390726</v>
      </c>
      <c r="K37" s="87">
        <f t="shared" si="31"/>
        <v>389051.45999999996</v>
      </c>
      <c r="L37" s="87">
        <f t="shared" si="31"/>
        <v>367795.9656</v>
      </c>
      <c r="M37" s="87">
        <f t="shared" si="31"/>
        <v>356394.29066639999</v>
      </c>
      <c r="N37" s="87">
        <f t="shared" si="31"/>
        <v>345346.06765574159</v>
      </c>
      <c r="O37" s="87">
        <f t="shared" si="31"/>
        <v>334640.33955841354</v>
      </c>
      <c r="P37" s="87">
        <f t="shared" si="31"/>
        <v>324266.48903210275</v>
      </c>
      <c r="Q37" s="3"/>
    </row>
    <row r="38" spans="2:18">
      <c r="B38" s="3"/>
      <c r="C38" s="2" t="str">
        <f>C23</f>
        <v>Peru</v>
      </c>
      <c r="D38" s="379"/>
      <c r="E38" s="452">
        <f>SUM('New Ints'!G111:J111)</f>
        <v>124582.73800000001</v>
      </c>
      <c r="F38" s="452">
        <f>SUM('New Ints'!K111:N111)</f>
        <v>96495</v>
      </c>
      <c r="G38" s="452">
        <f>SUM('New Ints'!O111:R111)</f>
        <v>92522</v>
      </c>
      <c r="H38" s="452">
        <f>SUM('New Ints'!S111:V111)</f>
        <v>122326</v>
      </c>
      <c r="I38" s="452">
        <f>SUM('New Ints'!W111:Z111)</f>
        <v>134071</v>
      </c>
      <c r="J38" s="379">
        <f t="shared" si="31"/>
        <v>144196.5</v>
      </c>
      <c r="K38" s="379">
        <f t="shared" si="31"/>
        <v>132846.84</v>
      </c>
      <c r="L38" s="379">
        <f t="shared" si="31"/>
        <v>116146.09439999999</v>
      </c>
      <c r="M38" s="379">
        <f t="shared" si="31"/>
        <v>113532.80727599999</v>
      </c>
      <c r="N38" s="379">
        <f t="shared" si="31"/>
        <v>115803.46342152001</v>
      </c>
      <c r="O38" s="379">
        <f t="shared" si="31"/>
        <v>118119.5326899504</v>
      </c>
      <c r="P38" s="379">
        <f t="shared" si="31"/>
        <v>120481.9233437494</v>
      </c>
      <c r="Q38" s="3"/>
    </row>
    <row r="39" spans="2:18">
      <c r="B39" s="3"/>
      <c r="C39" s="3" t="s">
        <v>426</v>
      </c>
      <c r="D39" s="87"/>
      <c r="E39" s="87">
        <f>SUM('New Ints'!G113:J113)</f>
        <v>408600</v>
      </c>
      <c r="F39" s="87">
        <f>SUM(F37:F38)</f>
        <v>370028</v>
      </c>
      <c r="G39" s="87">
        <f>SUM(G37:G38)</f>
        <v>445467</v>
      </c>
      <c r="H39" s="87">
        <f t="shared" ref="H39:P39" si="32">SUM(H37:H38)</f>
        <v>515266</v>
      </c>
      <c r="I39" s="87">
        <f t="shared" si="32"/>
        <v>476242</v>
      </c>
      <c r="J39" s="87">
        <f t="shared" si="32"/>
        <v>534922.5</v>
      </c>
      <c r="K39" s="87">
        <f t="shared" si="32"/>
        <v>521898.29999999993</v>
      </c>
      <c r="L39" s="87">
        <f t="shared" si="32"/>
        <v>483942.06</v>
      </c>
      <c r="M39" s="87">
        <f t="shared" si="32"/>
        <v>469927.09794239997</v>
      </c>
      <c r="N39" s="87">
        <f t="shared" si="32"/>
        <v>461149.53107726161</v>
      </c>
      <c r="O39" s="87">
        <f t="shared" si="32"/>
        <v>452759.87224836391</v>
      </c>
      <c r="P39" s="87">
        <f t="shared" si="32"/>
        <v>444748.41237585212</v>
      </c>
      <c r="Q39" s="3"/>
    </row>
    <row r="40" spans="2:18">
      <c r="B40" s="3"/>
      <c r="C40" s="3"/>
      <c r="D40" s="87"/>
      <c r="F40" s="87"/>
      <c r="G40" s="87"/>
      <c r="H40" s="87"/>
      <c r="I40" s="457">
        <v>541000</v>
      </c>
      <c r="J40" s="457">
        <v>600000</v>
      </c>
      <c r="K40" s="457">
        <v>575000</v>
      </c>
      <c r="L40" s="87"/>
      <c r="M40" s="87"/>
      <c r="N40" s="87"/>
      <c r="O40" s="87"/>
      <c r="P40" s="87"/>
      <c r="Q40" s="3"/>
    </row>
    <row r="41" spans="2:18">
      <c r="B41" s="3"/>
      <c r="C41" s="3" t="s">
        <v>659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3"/>
    </row>
    <row r="42" spans="2:18">
      <c r="B42" s="3"/>
      <c r="C42" s="3" t="str">
        <f>C31</f>
        <v>Chile</v>
      </c>
      <c r="D42" s="87"/>
      <c r="E42" s="8">
        <f t="shared" ref="E42:P42" si="33">E37/E4</f>
        <v>0.20458063872211865</v>
      </c>
      <c r="F42" s="8">
        <f t="shared" si="33"/>
        <v>0.18899680713388964</v>
      </c>
      <c r="G42" s="8">
        <f t="shared" ref="G42" si="34">G37/G4</f>
        <v>0.21326871029668307</v>
      </c>
      <c r="H42" s="8">
        <f t="shared" si="33"/>
        <v>0.23599957477554095</v>
      </c>
      <c r="I42" s="8">
        <f t="shared" si="33"/>
        <v>0.19734524502990419</v>
      </c>
      <c r="J42" s="8">
        <f t="shared" si="33"/>
        <v>0.22664316030193471</v>
      </c>
      <c r="K42" s="8">
        <f t="shared" si="33"/>
        <v>0.22156179406168713</v>
      </c>
      <c r="L42" s="8">
        <f t="shared" si="33"/>
        <v>0.20621085488507179</v>
      </c>
      <c r="M42" s="8">
        <f t="shared" si="33"/>
        <v>0.19670452129550409</v>
      </c>
      <c r="N42" s="8">
        <f t="shared" si="33"/>
        <v>0.18762003418481449</v>
      </c>
      <c r="O42" s="8">
        <f t="shared" si="33"/>
        <v>0.17893935841647127</v>
      </c>
      <c r="P42" s="8">
        <f t="shared" si="33"/>
        <v>0.17064520521427182</v>
      </c>
      <c r="Q42" s="3"/>
    </row>
    <row r="43" spans="2:18">
      <c r="B43" s="3"/>
      <c r="C43" s="2" t="str">
        <f>C32</f>
        <v>Peru</v>
      </c>
      <c r="D43" s="379"/>
      <c r="E43" s="83">
        <f t="shared" ref="E43:P43" si="35">E38/E5</f>
        <v>0.20715488053688152</v>
      </c>
      <c r="F43" s="83">
        <f t="shared" si="35"/>
        <v>0.14962228107497938</v>
      </c>
      <c r="G43" s="83">
        <f t="shared" ref="G43" si="36">G38/G5</f>
        <v>0.11836134738662719</v>
      </c>
      <c r="H43" s="83">
        <f t="shared" si="35"/>
        <v>0.13598063104723962</v>
      </c>
      <c r="I43" s="83">
        <f t="shared" si="35"/>
        <v>0.16434740824096752</v>
      </c>
      <c r="J43" s="83">
        <f t="shared" si="35"/>
        <v>0.16257084310844613</v>
      </c>
      <c r="K43" s="83">
        <f t="shared" si="35"/>
        <v>0.14532372780702124</v>
      </c>
      <c r="L43" s="83">
        <f t="shared" si="35"/>
        <v>0.12372678918264642</v>
      </c>
      <c r="M43" s="83">
        <f t="shared" si="35"/>
        <v>0.11774576267963469</v>
      </c>
      <c r="N43" s="83">
        <f t="shared" si="35"/>
        <v>0.11580075730809415</v>
      </c>
      <c r="O43" s="83">
        <f t="shared" si="35"/>
        <v>0.11391896559884215</v>
      </c>
      <c r="P43" s="83">
        <f t="shared" si="35"/>
        <v>0.11209735511555066</v>
      </c>
      <c r="Q43" s="3"/>
    </row>
    <row r="44" spans="2:18">
      <c r="B44" s="3"/>
      <c r="C44" s="3" t="s">
        <v>426</v>
      </c>
      <c r="D44" s="87"/>
      <c r="E44" s="8">
        <f t="shared" ref="E44:P44" si="37">E39/E7</f>
        <v>0.2053325145494117</v>
      </c>
      <c r="F44" s="8">
        <f t="shared" si="37"/>
        <v>0.17553019151741009</v>
      </c>
      <c r="G44" s="8">
        <f t="shared" ref="G44" si="38">G39/G7</f>
        <v>0.18183669895612697</v>
      </c>
      <c r="H44" s="8">
        <f t="shared" si="37"/>
        <v>0.19874412271803318</v>
      </c>
      <c r="I44" s="8">
        <f t="shared" si="37"/>
        <v>0.18508196791392309</v>
      </c>
      <c r="J44" s="8">
        <f t="shared" si="37"/>
        <v>0.20301847939825216</v>
      </c>
      <c r="K44" s="8">
        <f t="shared" si="37"/>
        <v>0.19372657878288274</v>
      </c>
      <c r="L44" s="8">
        <f t="shared" si="37"/>
        <v>0.17622102329265452</v>
      </c>
      <c r="M44" s="8">
        <f t="shared" si="37"/>
        <v>0.1678343722864897</v>
      </c>
      <c r="N44" s="8">
        <f t="shared" si="37"/>
        <v>0.1609826950312318</v>
      </c>
      <c r="O44" s="8">
        <f t="shared" si="37"/>
        <v>0.1544777890749035</v>
      </c>
      <c r="P44" s="8">
        <f t="shared" si="37"/>
        <v>0.14830211236363655</v>
      </c>
      <c r="Q44" s="3"/>
    </row>
    <row r="45" spans="2:18">
      <c r="B45" s="3"/>
      <c r="C45" s="3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3"/>
    </row>
    <row r="46" spans="2:18">
      <c r="B46" s="3"/>
      <c r="C46" s="304" t="s">
        <v>2520</v>
      </c>
      <c r="D46" s="458"/>
      <c r="E46" s="458"/>
      <c r="F46" s="458"/>
      <c r="G46" s="338"/>
      <c r="H46" s="458"/>
      <c r="I46" s="458"/>
      <c r="J46" s="458"/>
      <c r="K46" s="458"/>
      <c r="L46" s="458"/>
      <c r="M46" s="458"/>
      <c r="N46" s="458"/>
      <c r="O46" s="458"/>
      <c r="P46" s="458"/>
      <c r="Q46" s="3"/>
    </row>
    <row r="47" spans="2:18">
      <c r="B47" s="3"/>
      <c r="C47" s="304" t="str">
        <f>C31</f>
        <v>Chile</v>
      </c>
      <c r="D47" s="458"/>
      <c r="E47" s="458">
        <f t="shared" ref="E47:H48" si="39">E37/E$175</f>
        <v>399.45519203413943</v>
      </c>
      <c r="F47" s="458">
        <f t="shared" si="39"/>
        <v>345.36994949494948</v>
      </c>
      <c r="G47" s="458">
        <f t="shared" si="39"/>
        <v>463.7910643889619</v>
      </c>
      <c r="H47" s="458">
        <f t="shared" si="39"/>
        <v>450.10309278350513</v>
      </c>
      <c r="I47" s="458">
        <f t="shared" ref="I47" si="40">I37/I$175</f>
        <v>407.34642857142859</v>
      </c>
      <c r="J47" s="459">
        <v>420</v>
      </c>
      <c r="K47" s="459">
        <v>410</v>
      </c>
      <c r="L47" s="459">
        <v>380</v>
      </c>
      <c r="M47" s="459">
        <f>L47*0.95</f>
        <v>361</v>
      </c>
      <c r="N47" s="459">
        <f t="shared" ref="N47:P47" si="41">M47*0.95</f>
        <v>342.95</v>
      </c>
      <c r="O47" s="459">
        <f t="shared" si="41"/>
        <v>325.80249999999995</v>
      </c>
      <c r="P47" s="459">
        <f t="shared" si="41"/>
        <v>309.51237499999996</v>
      </c>
      <c r="Q47" s="3"/>
      <c r="R47" s="57"/>
    </row>
    <row r="48" spans="2:18">
      <c r="B48" s="3"/>
      <c r="C48" s="460" t="str">
        <f>C32</f>
        <v>Peru</v>
      </c>
      <c r="D48" s="461"/>
      <c r="E48" s="461">
        <f t="shared" si="39"/>
        <v>177.21584352773829</v>
      </c>
      <c r="F48" s="461">
        <f t="shared" si="39"/>
        <v>121.83712121212122</v>
      </c>
      <c r="G48" s="461">
        <f t="shared" si="39"/>
        <v>121.57950065703022</v>
      </c>
      <c r="H48" s="461">
        <f t="shared" si="39"/>
        <v>140.12142038946163</v>
      </c>
      <c r="I48" s="461">
        <f t="shared" ref="I48" si="42">I38/I$175</f>
        <v>159.60833333333332</v>
      </c>
      <c r="J48" s="462">
        <v>155</v>
      </c>
      <c r="K48" s="462">
        <v>140</v>
      </c>
      <c r="L48" s="462">
        <v>120</v>
      </c>
      <c r="M48" s="462">
        <v>115</v>
      </c>
      <c r="N48" s="462">
        <v>115</v>
      </c>
      <c r="O48" s="462">
        <v>115</v>
      </c>
      <c r="P48" s="462">
        <v>115</v>
      </c>
      <c r="Q48" s="3"/>
    </row>
    <row r="49" spans="2:17">
      <c r="B49" s="3"/>
      <c r="C49" s="304" t="s">
        <v>426</v>
      </c>
      <c r="D49" s="458"/>
      <c r="E49" s="458">
        <f>E39/E$175</f>
        <v>581.22332859174969</v>
      </c>
      <c r="F49" s="458">
        <f t="shared" ref="F49:P49" si="43">SUM(F47:F48)</f>
        <v>467.20707070707067</v>
      </c>
      <c r="G49" s="458">
        <f t="shared" ref="G49:H49" si="44">SUM(G47:G48)</f>
        <v>585.37056504599218</v>
      </c>
      <c r="H49" s="458">
        <f t="shared" si="44"/>
        <v>590.22451317296679</v>
      </c>
      <c r="I49" s="458">
        <f t="shared" ref="I49" si="45">SUM(I47:I48)</f>
        <v>566.95476190476188</v>
      </c>
      <c r="J49" s="458">
        <f t="shared" si="43"/>
        <v>575</v>
      </c>
      <c r="K49" s="458">
        <f t="shared" si="43"/>
        <v>550</v>
      </c>
      <c r="L49" s="458">
        <f t="shared" si="43"/>
        <v>500</v>
      </c>
      <c r="M49" s="458">
        <f t="shared" si="43"/>
        <v>476</v>
      </c>
      <c r="N49" s="458">
        <f t="shared" si="43"/>
        <v>457.95</v>
      </c>
      <c r="O49" s="458">
        <f t="shared" si="43"/>
        <v>440.80249999999995</v>
      </c>
      <c r="P49" s="458">
        <f t="shared" si="43"/>
        <v>424.51237499999996</v>
      </c>
      <c r="Q49" s="3"/>
    </row>
    <row r="50" spans="2:17">
      <c r="B50" s="3"/>
      <c r="C50" s="304"/>
      <c r="D50" s="458"/>
      <c r="E50" s="458"/>
      <c r="F50" s="33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3"/>
    </row>
    <row r="51" spans="2:17">
      <c r="B51" s="3"/>
      <c r="C51" s="3" t="s">
        <v>2546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3"/>
    </row>
    <row r="52" spans="2:17">
      <c r="B52" s="3"/>
      <c r="C52" s="3" t="str">
        <f>C42</f>
        <v>Chile</v>
      </c>
      <c r="D52" s="87"/>
      <c r="E52" s="87">
        <f t="shared" ref="E52:P52" si="46">E22-E37</f>
        <v>234026.5</v>
      </c>
      <c r="F52" s="87">
        <f t="shared" si="46"/>
        <v>273593</v>
      </c>
      <c r="G52" s="87">
        <f t="shared" ref="G52" si="47">G22-G37</f>
        <v>269182</v>
      </c>
      <c r="H52" s="87">
        <f t="shared" si="46"/>
        <v>173224</v>
      </c>
      <c r="I52" s="87">
        <f>I22-I37</f>
        <v>202327</v>
      </c>
      <c r="J52" s="87">
        <f t="shared" si="46"/>
        <v>135084.8378000001</v>
      </c>
      <c r="K52" s="87">
        <f t="shared" si="46"/>
        <v>155293.07878100011</v>
      </c>
      <c r="L52" s="87">
        <f t="shared" si="46"/>
        <v>202953.37277791998</v>
      </c>
      <c r="M52" s="87">
        <f t="shared" si="46"/>
        <v>241508.16294944438</v>
      </c>
      <c r="N52" s="87">
        <f t="shared" si="46"/>
        <v>280480.82504853257</v>
      </c>
      <c r="O52" s="87">
        <f t="shared" si="46"/>
        <v>319906.09383632877</v>
      </c>
      <c r="P52" s="87">
        <f t="shared" si="46"/>
        <v>359819.1605176559</v>
      </c>
      <c r="Q52" s="3"/>
    </row>
    <row r="53" spans="2:17">
      <c r="B53" s="3"/>
      <c r="C53" s="2" t="str">
        <f>C43</f>
        <v>Peru</v>
      </c>
      <c r="D53" s="379"/>
      <c r="E53" s="379">
        <f t="shared" ref="E53:P53" si="48">E23-E38</f>
        <v>-78514.238000000012</v>
      </c>
      <c r="F53" s="379">
        <f t="shared" si="48"/>
        <v>-4674</v>
      </c>
      <c r="G53" s="379">
        <f t="shared" ref="G53" si="49">G23-G38</f>
        <v>39497</v>
      </c>
      <c r="H53" s="379">
        <f t="shared" si="48"/>
        <v>57293</v>
      </c>
      <c r="I53" s="379">
        <f t="shared" si="48"/>
        <v>67989</v>
      </c>
      <c r="J53" s="379">
        <f t="shared" si="48"/>
        <v>77547.598208020674</v>
      </c>
      <c r="K53" s="379">
        <f t="shared" si="48"/>
        <v>104830.64681665189</v>
      </c>
      <c r="L53" s="379">
        <f t="shared" si="48"/>
        <v>137311.10508900438</v>
      </c>
      <c r="M53" s="379">
        <f t="shared" si="48"/>
        <v>156448.76415237266</v>
      </c>
      <c r="N53" s="379">
        <f t="shared" si="48"/>
        <v>169203.19665864098</v>
      </c>
      <c r="O53" s="379">
        <f t="shared" si="48"/>
        <v>182573.72150190276</v>
      </c>
      <c r="P53" s="379">
        <f t="shared" si="48"/>
        <v>196583.2504934833</v>
      </c>
      <c r="Q53" s="3"/>
    </row>
    <row r="54" spans="2:17">
      <c r="B54" s="3"/>
      <c r="C54" s="3" t="str">
        <f>C44</f>
        <v>Group</v>
      </c>
      <c r="D54" s="87"/>
      <c r="E54" s="87">
        <f t="shared" ref="E54:P54" si="50">E25-E39</f>
        <v>164824</v>
      </c>
      <c r="F54" s="87">
        <f t="shared" si="50"/>
        <v>272215</v>
      </c>
      <c r="G54" s="87">
        <f t="shared" ref="G54" si="51">G25-G39</f>
        <v>312086</v>
      </c>
      <c r="H54" s="87">
        <f t="shared" si="50"/>
        <v>233340</v>
      </c>
      <c r="I54" s="87">
        <f t="shared" si="50"/>
        <v>275148</v>
      </c>
      <c r="J54" s="87">
        <f t="shared" si="50"/>
        <v>217582.43600802077</v>
      </c>
      <c r="K54" s="87">
        <f t="shared" si="50"/>
        <v>265073.72559765202</v>
      </c>
      <c r="L54" s="87">
        <f t="shared" si="50"/>
        <v>345214.47786692431</v>
      </c>
      <c r="M54" s="87">
        <f t="shared" si="50"/>
        <v>402906.92710181704</v>
      </c>
      <c r="N54" s="87">
        <f t="shared" si="50"/>
        <v>454634.02170717361</v>
      </c>
      <c r="O54" s="87">
        <f t="shared" si="50"/>
        <v>507429.81533823162</v>
      </c>
      <c r="P54" s="87">
        <f t="shared" si="50"/>
        <v>561352.41101113928</v>
      </c>
      <c r="Q54" s="3"/>
    </row>
    <row r="55" spans="2:17">
      <c r="B55" s="3"/>
      <c r="C55" s="3"/>
      <c r="D55" s="87"/>
      <c r="F55" s="87"/>
      <c r="G55" s="87"/>
      <c r="H55" s="5"/>
      <c r="I55" s="5"/>
      <c r="J55" s="87"/>
      <c r="K55" s="87"/>
      <c r="L55" s="87"/>
      <c r="M55" s="87"/>
      <c r="N55" s="87"/>
      <c r="O55" s="87"/>
      <c r="P55" s="87"/>
      <c r="Q55" s="3"/>
    </row>
    <row r="56" spans="2:17">
      <c r="B56" s="3"/>
      <c r="C56" s="3" t="s">
        <v>427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3"/>
    </row>
    <row r="57" spans="2:17">
      <c r="B57" s="3"/>
      <c r="C57" s="3" t="str">
        <f>C52</f>
        <v>Chile</v>
      </c>
      <c r="D57" s="87"/>
      <c r="E57" s="5">
        <f t="shared" ref="E57:P57" si="52">E52/E4</f>
        <v>0.17049285067464542</v>
      </c>
      <c r="F57" s="5">
        <f t="shared" si="52"/>
        <v>0.18903826395419299</v>
      </c>
      <c r="G57" s="5">
        <f t="shared" ref="G57" si="53">G52/G4</f>
        <v>0.1626545155054803</v>
      </c>
      <c r="H57" s="5">
        <f t="shared" si="52"/>
        <v>0.10403825098213036</v>
      </c>
      <c r="I57" s="5">
        <f t="shared" si="52"/>
        <v>0.11669098606008524</v>
      </c>
      <c r="J57" s="5">
        <f t="shared" si="52"/>
        <v>7.8356839698065325E-2</v>
      </c>
      <c r="K57" s="5">
        <f t="shared" si="52"/>
        <v>8.8438205938312905E-2</v>
      </c>
      <c r="L57" s="5">
        <f t="shared" si="52"/>
        <v>0.11378914511492819</v>
      </c>
      <c r="M57" s="5">
        <f t="shared" si="52"/>
        <v>0.13329547870449593</v>
      </c>
      <c r="N57" s="5">
        <f t="shared" si="52"/>
        <v>0.15237996581518554</v>
      </c>
      <c r="O57" s="5">
        <f t="shared" si="52"/>
        <v>0.17106064158352871</v>
      </c>
      <c r="P57" s="5">
        <f t="shared" si="52"/>
        <v>0.1893547947857282</v>
      </c>
      <c r="Q57" s="3"/>
    </row>
    <row r="58" spans="2:17">
      <c r="B58" s="3"/>
      <c r="C58" s="2" t="str">
        <f>C53</f>
        <v>Peru</v>
      </c>
      <c r="D58" s="379"/>
      <c r="E58" s="82">
        <f t="shared" ref="E58:P58" si="54">E53/E5</f>
        <v>-0.13055265805230806</v>
      </c>
      <c r="F58" s="82">
        <f t="shared" si="54"/>
        <v>-7.2473655810607138E-3</v>
      </c>
      <c r="G58" s="82">
        <f t="shared" ref="G58" si="55">G53/G5</f>
        <v>5.0527638158812116E-2</v>
      </c>
      <c r="H58" s="82">
        <f t="shared" si="54"/>
        <v>6.3688327048947072E-2</v>
      </c>
      <c r="I58" s="82">
        <f t="shared" si="54"/>
        <v>8.3342527011025055E-2</v>
      </c>
      <c r="J58" s="82">
        <f t="shared" si="54"/>
        <v>8.7429156891553866E-2</v>
      </c>
      <c r="K58" s="82">
        <f t="shared" si="54"/>
        <v>0.11467627219297875</v>
      </c>
      <c r="L58" s="82">
        <f t="shared" si="54"/>
        <v>0.14627321081735362</v>
      </c>
      <c r="M58" s="82">
        <f t="shared" si="54"/>
        <v>0.1622542373203654</v>
      </c>
      <c r="N58" s="82">
        <f t="shared" si="54"/>
        <v>0.16919924269190589</v>
      </c>
      <c r="O58" s="82">
        <f t="shared" si="54"/>
        <v>0.17608103440115788</v>
      </c>
      <c r="P58" s="82">
        <f t="shared" si="54"/>
        <v>0.18290264488444938</v>
      </c>
      <c r="Q58" s="3"/>
    </row>
    <row r="59" spans="2:17">
      <c r="B59" s="3"/>
      <c r="C59" s="3" t="str">
        <f>C54</f>
        <v>Group</v>
      </c>
      <c r="D59" s="87"/>
      <c r="E59" s="5">
        <f t="shared" ref="E59:P59" si="56">E54/E7</f>
        <v>8.2828503127979042E-2</v>
      </c>
      <c r="F59" s="5">
        <f t="shared" si="56"/>
        <v>0.12913063628674529</v>
      </c>
      <c r="G59" s="5">
        <f t="shared" ref="G59" si="57">G54/G7</f>
        <v>0.12739145218483489</v>
      </c>
      <c r="H59" s="5">
        <f t="shared" si="56"/>
        <v>9.0001967129649266E-2</v>
      </c>
      <c r="I59" s="5">
        <f t="shared" si="56"/>
        <v>0.10693079003443651</v>
      </c>
      <c r="J59" s="5">
        <f t="shared" si="56"/>
        <v>8.2578794689166901E-2</v>
      </c>
      <c r="K59" s="5">
        <f t="shared" si="56"/>
        <v>9.8394315492627171E-2</v>
      </c>
      <c r="L59" s="5">
        <f t="shared" si="56"/>
        <v>0.12570523121125043</v>
      </c>
      <c r="M59" s="5">
        <f t="shared" si="56"/>
        <v>0.14389813121247258</v>
      </c>
      <c r="N59" s="5">
        <f t="shared" si="56"/>
        <v>0.15870819579136966</v>
      </c>
      <c r="O59" s="5">
        <f t="shared" si="56"/>
        <v>0.17313070523426854</v>
      </c>
      <c r="P59" s="5">
        <f t="shared" si="56"/>
        <v>0.18718391345941171</v>
      </c>
      <c r="Q59" s="3"/>
    </row>
    <row r="60" spans="2:17">
      <c r="B60" s="3"/>
      <c r="C60" s="3"/>
      <c r="D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3"/>
    </row>
    <row r="61" spans="2:17">
      <c r="B61" s="3"/>
      <c r="C61" s="3" t="s">
        <v>92</v>
      </c>
      <c r="D61" s="87"/>
      <c r="E61" s="266">
        <v>422651</v>
      </c>
      <c r="F61" s="266">
        <v>471763</v>
      </c>
      <c r="G61" s="266">
        <v>478078</v>
      </c>
      <c r="H61" s="266">
        <v>524404</v>
      </c>
      <c r="I61" s="266">
        <v>512993</v>
      </c>
      <c r="J61" s="87">
        <f t="shared" ref="J61:P61" si="58">J62*J7</f>
        <v>498946.39403229806</v>
      </c>
      <c r="K61" s="87">
        <f t="shared" si="58"/>
        <v>511858.91798116866</v>
      </c>
      <c r="L61" s="87">
        <f t="shared" si="58"/>
        <v>494319.96916358283</v>
      </c>
      <c r="M61" s="87">
        <f t="shared" si="58"/>
        <v>475990.73754595127</v>
      </c>
      <c r="N61" s="87">
        <f t="shared" si="58"/>
        <v>486980.41903153132</v>
      </c>
      <c r="O61" s="87">
        <f t="shared" si="58"/>
        <v>498254.01271700556</v>
      </c>
      <c r="P61" s="87">
        <f t="shared" si="58"/>
        <v>509818.96952692122</v>
      </c>
      <c r="Q61" s="3"/>
    </row>
    <row r="62" spans="2:17">
      <c r="B62" s="3"/>
      <c r="C62" s="3" t="s">
        <v>90</v>
      </c>
      <c r="D62" s="87"/>
      <c r="E62" s="5">
        <f>E61/E7</f>
        <v>0.21239352081944055</v>
      </c>
      <c r="F62" s="5">
        <f>F61/F7</f>
        <v>0.22379022598513609</v>
      </c>
      <c r="G62" s="5">
        <f>G61/G7</f>
        <v>0.19514829462911343</v>
      </c>
      <c r="H62" s="5">
        <f>H61/H7</f>
        <v>0.20226875619549411</v>
      </c>
      <c r="I62" s="5">
        <f>I61/I7</f>
        <v>0.19936451208853304</v>
      </c>
      <c r="J62" s="440">
        <f>I62-1%</f>
        <v>0.18936451208853303</v>
      </c>
      <c r="K62" s="440">
        <v>0.19</v>
      </c>
      <c r="L62" s="440">
        <f>K62-1%</f>
        <v>0.18</v>
      </c>
      <c r="M62" s="440">
        <v>0.17</v>
      </c>
      <c r="N62" s="440">
        <f t="shared" ref="N62:P62" si="59">M62</f>
        <v>0.17</v>
      </c>
      <c r="O62" s="440">
        <f t="shared" si="59"/>
        <v>0.17</v>
      </c>
      <c r="P62" s="440">
        <f t="shared" si="59"/>
        <v>0.17</v>
      </c>
      <c r="Q62" s="3"/>
    </row>
    <row r="63" spans="2:17">
      <c r="B63" s="3"/>
      <c r="C63" s="3" t="s">
        <v>587</v>
      </c>
      <c r="D63" s="87"/>
      <c r="E63" s="5">
        <f t="shared" ref="E63:P63" si="60">E61/E39</f>
        <v>1.0343881546744982</v>
      </c>
      <c r="F63" s="5">
        <f t="shared" si="60"/>
        <v>1.2749386532911022</v>
      </c>
      <c r="G63" s="5">
        <f t="shared" si="60"/>
        <v>1.0732063205579763</v>
      </c>
      <c r="H63" s="5">
        <f t="shared" si="60"/>
        <v>1.0177345293498892</v>
      </c>
      <c r="I63" s="5">
        <f t="shared" si="60"/>
        <v>1.0771687503412131</v>
      </c>
      <c r="J63" s="5">
        <f t="shared" si="60"/>
        <v>0.93274519959862978</v>
      </c>
      <c r="K63" s="5">
        <f t="shared" si="60"/>
        <v>0.9807637196388046</v>
      </c>
      <c r="L63" s="5">
        <f t="shared" si="60"/>
        <v>1.0214445282222067</v>
      </c>
      <c r="M63" s="5">
        <f t="shared" si="60"/>
        <v>1.0129033623089652</v>
      </c>
      <c r="N63" s="5">
        <f t="shared" si="60"/>
        <v>1.0560141260339739</v>
      </c>
      <c r="O63" s="5">
        <f t="shared" si="60"/>
        <v>1.1004818298996373</v>
      </c>
      <c r="P63" s="5">
        <f t="shared" si="60"/>
        <v>1.1463086890034331</v>
      </c>
      <c r="Q63" s="3"/>
    </row>
    <row r="64" spans="2:17">
      <c r="B64" s="3"/>
      <c r="C64" s="4" t="s">
        <v>2556</v>
      </c>
      <c r="D64" s="87"/>
      <c r="E64" s="87">
        <f>'New Ints'!G148+'New Ints'!H148+'New Ints'!I148+'New Ints'!J148</f>
        <v>68803</v>
      </c>
      <c r="F64" s="457">
        <v>75000</v>
      </c>
      <c r="G64" s="457">
        <f t="shared" ref="G64:P64" si="61">F64*1.01</f>
        <v>75750</v>
      </c>
      <c r="H64" s="457">
        <f t="shared" si="61"/>
        <v>76507.5</v>
      </c>
      <c r="I64" s="457">
        <f t="shared" si="61"/>
        <v>77272.574999999997</v>
      </c>
      <c r="J64" s="457">
        <f t="shared" si="61"/>
        <v>78045.300749999995</v>
      </c>
      <c r="K64" s="457">
        <f t="shared" si="61"/>
        <v>78825.753757500002</v>
      </c>
      <c r="L64" s="457">
        <f t="shared" si="61"/>
        <v>79614.011295075004</v>
      </c>
      <c r="M64" s="457">
        <f t="shared" si="61"/>
        <v>80410.151408025762</v>
      </c>
      <c r="N64" s="457">
        <f t="shared" si="61"/>
        <v>81214.252922106025</v>
      </c>
      <c r="O64" s="457">
        <f t="shared" si="61"/>
        <v>82026.395451327087</v>
      </c>
      <c r="P64" s="457">
        <f t="shared" si="61"/>
        <v>82846.659405840357</v>
      </c>
      <c r="Q64" s="3"/>
    </row>
    <row r="65" spans="2:17">
      <c r="B65" s="3"/>
      <c r="C65" s="3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3"/>
    </row>
    <row r="66" spans="2:17">
      <c r="B66" s="3"/>
      <c r="C66" s="3" t="s">
        <v>377</v>
      </c>
      <c r="D66" s="87"/>
      <c r="E66" s="266">
        <v>4551</v>
      </c>
      <c r="F66" s="266">
        <v>0</v>
      </c>
      <c r="G66" s="266">
        <v>0</v>
      </c>
      <c r="H66" s="266">
        <f>-540000</f>
        <v>-540000</v>
      </c>
      <c r="I66" s="266">
        <v>0</v>
      </c>
      <c r="J66" s="457">
        <v>0</v>
      </c>
      <c r="K66" s="457">
        <v>0</v>
      </c>
      <c r="L66" s="457">
        <v>0</v>
      </c>
      <c r="M66" s="457">
        <v>0</v>
      </c>
      <c r="N66" s="457">
        <v>0</v>
      </c>
      <c r="O66" s="457">
        <v>0</v>
      </c>
      <c r="P66" s="457">
        <v>0</v>
      </c>
      <c r="Q66" s="3"/>
    </row>
    <row r="67" spans="2:17">
      <c r="B67" s="3"/>
      <c r="C67" s="583" t="s">
        <v>93</v>
      </c>
      <c r="D67" s="577"/>
      <c r="E67" s="577">
        <f t="shared" ref="E67:P67" si="62">E14-E61-E66</f>
        <v>343239</v>
      </c>
      <c r="F67" s="577">
        <f t="shared" si="62"/>
        <v>212468</v>
      </c>
      <c r="G67" s="577">
        <f t="shared" si="62"/>
        <v>294375</v>
      </c>
      <c r="H67" s="577">
        <f>H14-H61-H66</f>
        <v>1297609</v>
      </c>
      <c r="I67" s="577">
        <f t="shared" si="62"/>
        <v>249569</v>
      </c>
      <c r="J67" s="577">
        <f t="shared" si="62"/>
        <v>253558.54197572271</v>
      </c>
      <c r="K67" s="577">
        <f t="shared" si="62"/>
        <v>275113.10761648329</v>
      </c>
      <c r="L67" s="577">
        <f t="shared" si="62"/>
        <v>334836.56870334147</v>
      </c>
      <c r="M67" s="577">
        <f t="shared" si="62"/>
        <v>396843.28749826574</v>
      </c>
      <c r="N67" s="577">
        <f t="shared" si="62"/>
        <v>428803.1337529039</v>
      </c>
      <c r="O67" s="577">
        <f t="shared" si="62"/>
        <v>461935.67486958997</v>
      </c>
      <c r="P67" s="577">
        <f t="shared" si="62"/>
        <v>496281.85386007017</v>
      </c>
      <c r="Q67" s="3"/>
    </row>
    <row r="68" spans="2:17">
      <c r="B68" s="3"/>
      <c r="C68" s="3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3"/>
    </row>
    <row r="69" spans="2:17">
      <c r="B69" s="3"/>
      <c r="C69" s="3" t="s">
        <v>94</v>
      </c>
      <c r="D69" s="87"/>
      <c r="E69" s="266">
        <v>103707</v>
      </c>
      <c r="F69" s="266">
        <v>118515</v>
      </c>
      <c r="G69" s="266">
        <v>175744</v>
      </c>
      <c r="H69" s="266">
        <v>217857</v>
      </c>
      <c r="I69" s="266">
        <v>128975</v>
      </c>
      <c r="J69" s="87">
        <f t="shared" ref="J69:P69" si="63">J70*I101</f>
        <v>114800</v>
      </c>
      <c r="K69" s="87">
        <f t="shared" si="63"/>
        <v>115089.60035478818</v>
      </c>
      <c r="L69" s="87">
        <f t="shared" si="63"/>
        <v>110412.49621105746</v>
      </c>
      <c r="M69" s="87">
        <f t="shared" si="63"/>
        <v>114160.72300518145</v>
      </c>
      <c r="N69" s="87">
        <f t="shared" si="63"/>
        <v>115955.30112333724</v>
      </c>
      <c r="O69" s="87">
        <f t="shared" si="63"/>
        <v>115587.45513334859</v>
      </c>
      <c r="P69" s="87">
        <f t="shared" si="63"/>
        <v>112953.88321186234</v>
      </c>
      <c r="Q69" s="3"/>
    </row>
    <row r="70" spans="2:17">
      <c r="B70" s="3"/>
      <c r="C70" s="3" t="s">
        <v>95</v>
      </c>
      <c r="D70" s="87"/>
      <c r="E70" s="87"/>
      <c r="F70" s="60">
        <f>F69/F101</f>
        <v>0.10244151632287554</v>
      </c>
      <c r="G70" s="60">
        <f>G69/G101</f>
        <v>0.13520849361440221</v>
      </c>
      <c r="H70" s="60">
        <f>H69/H101</f>
        <v>0.13629692192192192</v>
      </c>
      <c r="I70" s="60">
        <f>I69/I101</f>
        <v>0.11234756097560976</v>
      </c>
      <c r="J70" s="484">
        <v>0.1</v>
      </c>
      <c r="K70" s="484">
        <v>0.09</v>
      </c>
      <c r="L70" s="484">
        <v>0.08</v>
      </c>
      <c r="M70" s="484">
        <v>0.08</v>
      </c>
      <c r="N70" s="484">
        <v>0.08</v>
      </c>
      <c r="O70" s="484">
        <v>0.08</v>
      </c>
      <c r="P70" s="484">
        <v>0.08</v>
      </c>
      <c r="Q70" s="3"/>
    </row>
    <row r="71" spans="2:17">
      <c r="B71" s="3"/>
      <c r="C71" s="3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3"/>
    </row>
    <row r="72" spans="2:17">
      <c r="B72" s="3"/>
      <c r="C72" s="3" t="s">
        <v>96</v>
      </c>
      <c r="D72" s="87"/>
      <c r="E72" s="87">
        <f t="shared" ref="E72:P72" si="64">E67-E69</f>
        <v>239532</v>
      </c>
      <c r="F72" s="87">
        <f t="shared" si="64"/>
        <v>93953</v>
      </c>
      <c r="G72" s="87">
        <f t="shared" si="64"/>
        <v>118631</v>
      </c>
      <c r="H72" s="87">
        <f t="shared" si="64"/>
        <v>1079752</v>
      </c>
      <c r="I72" s="87">
        <f t="shared" si="64"/>
        <v>120594</v>
      </c>
      <c r="J72" s="87">
        <f t="shared" si="64"/>
        <v>138758.54197572271</v>
      </c>
      <c r="K72" s="87">
        <f t="shared" si="64"/>
        <v>160023.50726169511</v>
      </c>
      <c r="L72" s="87">
        <f t="shared" si="64"/>
        <v>224424.072492284</v>
      </c>
      <c r="M72" s="87">
        <f t="shared" si="64"/>
        <v>282682.56449308427</v>
      </c>
      <c r="N72" s="87">
        <f t="shared" si="64"/>
        <v>312847.83262956666</v>
      </c>
      <c r="O72" s="87">
        <f t="shared" si="64"/>
        <v>346348.21973624139</v>
      </c>
      <c r="P72" s="87">
        <f t="shared" si="64"/>
        <v>383327.97064820782</v>
      </c>
      <c r="Q72" s="3"/>
    </row>
    <row r="73" spans="2:17">
      <c r="B73" s="3"/>
      <c r="C73" s="3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3"/>
    </row>
    <row r="74" spans="2:17">
      <c r="B74" s="3"/>
      <c r="C74" s="3" t="s">
        <v>97</v>
      </c>
      <c r="D74" s="87"/>
      <c r="E74" s="266">
        <v>86058</v>
      </c>
      <c r="F74" s="266">
        <f>'New Ints'!K157+'New Ints'!L157+'New Ints'!M157+'New Ints'!N157</f>
        <v>9488</v>
      </c>
      <c r="G74" s="266">
        <f>'New Ints'!O157+'New Ints'!P157+'New Ints'!Q157+'New Ints'!R157</f>
        <v>43655</v>
      </c>
      <c r="H74" s="266">
        <f>'New Ints'!S157+'New Ints'!T157+'New Ints'!U157+'New Ints'!V157</f>
        <v>82964</v>
      </c>
      <c r="I74" s="266">
        <f>SUM('New Ints'!W157:Z157)</f>
        <v>31710</v>
      </c>
      <c r="J74" s="87">
        <f t="shared" ref="J74:P74" si="65">J75*J72</f>
        <v>37464.806333445136</v>
      </c>
      <c r="K74" s="87">
        <f t="shared" si="65"/>
        <v>43206.346960657684</v>
      </c>
      <c r="L74" s="87">
        <f t="shared" si="65"/>
        <v>60594.499572916684</v>
      </c>
      <c r="M74" s="87">
        <f t="shared" si="65"/>
        <v>76324.29241313276</v>
      </c>
      <c r="N74" s="87">
        <f t="shared" si="65"/>
        <v>84468.914809983005</v>
      </c>
      <c r="O74" s="87">
        <f t="shared" si="65"/>
        <v>93514.019328785187</v>
      </c>
      <c r="P74" s="87">
        <f t="shared" si="65"/>
        <v>103498.55207501612</v>
      </c>
      <c r="Q74" s="3"/>
    </row>
    <row r="75" spans="2:17">
      <c r="B75" s="3"/>
      <c r="C75" s="3" t="s">
        <v>98</v>
      </c>
      <c r="D75" s="87"/>
      <c r="E75" s="5">
        <f>E74/E72</f>
        <v>0.35927558739542109</v>
      </c>
      <c r="F75" s="5">
        <f>F74/F72</f>
        <v>0.10098666354453822</v>
      </c>
      <c r="G75" s="5">
        <f>G74/G72</f>
        <v>0.36798981716414764</v>
      </c>
      <c r="H75" s="5">
        <f>H74/H72</f>
        <v>7.6836162378027553E-2</v>
      </c>
      <c r="I75" s="5">
        <f>I74/I72</f>
        <v>0.26294840539330316</v>
      </c>
      <c r="J75" s="440">
        <v>0.27</v>
      </c>
      <c r="K75" s="440">
        <v>0.27</v>
      </c>
      <c r="L75" s="440">
        <v>0.27</v>
      </c>
      <c r="M75" s="440">
        <v>0.27</v>
      </c>
      <c r="N75" s="440">
        <v>0.27</v>
      </c>
      <c r="O75" s="440">
        <v>0.27</v>
      </c>
      <c r="P75" s="440">
        <v>0.27</v>
      </c>
      <c r="Q75" s="3"/>
    </row>
    <row r="76" spans="2:17">
      <c r="B76" s="3"/>
      <c r="C76" s="3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3"/>
    </row>
    <row r="77" spans="2:17">
      <c r="B77" s="3"/>
      <c r="C77" s="3" t="s">
        <v>99</v>
      </c>
      <c r="D77" s="87"/>
      <c r="E77" s="266">
        <v>0</v>
      </c>
      <c r="F77" s="266">
        <v>0</v>
      </c>
      <c r="G77" s="266">
        <v>0</v>
      </c>
      <c r="H77" s="266">
        <v>0</v>
      </c>
      <c r="I77" s="266">
        <v>0</v>
      </c>
      <c r="J77" s="457">
        <f t="shared" ref="J77:P77" si="66">I77</f>
        <v>0</v>
      </c>
      <c r="K77" s="457">
        <f t="shared" si="66"/>
        <v>0</v>
      </c>
      <c r="L77" s="457">
        <f t="shared" si="66"/>
        <v>0</v>
      </c>
      <c r="M77" s="457">
        <f t="shared" si="66"/>
        <v>0</v>
      </c>
      <c r="N77" s="457">
        <f t="shared" si="66"/>
        <v>0</v>
      </c>
      <c r="O77" s="457">
        <f t="shared" si="66"/>
        <v>0</v>
      </c>
      <c r="P77" s="457">
        <f t="shared" si="66"/>
        <v>0</v>
      </c>
      <c r="Q77" s="3"/>
    </row>
    <row r="78" spans="2:17">
      <c r="B78" s="3"/>
      <c r="C78" s="583" t="s">
        <v>100</v>
      </c>
      <c r="D78" s="577"/>
      <c r="E78" s="577">
        <f t="shared" ref="E78:P78" si="67">E72-E74-E77</f>
        <v>153474</v>
      </c>
      <c r="F78" s="577">
        <f t="shared" si="67"/>
        <v>84465</v>
      </c>
      <c r="G78" s="577">
        <f t="shared" si="67"/>
        <v>74976</v>
      </c>
      <c r="H78" s="577">
        <f>H72-H74-H77</f>
        <v>996788</v>
      </c>
      <c r="I78" s="577">
        <f t="shared" si="67"/>
        <v>88884</v>
      </c>
      <c r="J78" s="577">
        <f t="shared" si="67"/>
        <v>101293.73564227758</v>
      </c>
      <c r="K78" s="577">
        <f t="shared" si="67"/>
        <v>116817.16030103742</v>
      </c>
      <c r="L78" s="577">
        <f t="shared" si="67"/>
        <v>163829.57291936732</v>
      </c>
      <c r="M78" s="577">
        <f t="shared" si="67"/>
        <v>206358.27207995151</v>
      </c>
      <c r="N78" s="577">
        <f t="shared" si="67"/>
        <v>228378.91781958367</v>
      </c>
      <c r="O78" s="577">
        <f t="shared" si="67"/>
        <v>252834.2004074562</v>
      </c>
      <c r="P78" s="577">
        <f t="shared" si="67"/>
        <v>279829.41857319168</v>
      </c>
      <c r="Q78" s="3"/>
    </row>
    <row r="79" spans="2:17">
      <c r="B79" s="3"/>
      <c r="C79" s="3"/>
      <c r="D79" s="87"/>
      <c r="E79" s="87"/>
      <c r="F79" s="87"/>
      <c r="G79" s="87"/>
      <c r="H79" s="87">
        <f>H78+H66</f>
        <v>456788</v>
      </c>
      <c r="I79" s="87"/>
      <c r="J79" s="87"/>
      <c r="K79" s="87"/>
      <c r="L79" s="87"/>
      <c r="M79" s="87"/>
      <c r="N79" s="87"/>
      <c r="O79" s="87"/>
      <c r="P79" s="87"/>
      <c r="Q79" s="3"/>
    </row>
    <row r="80" spans="2:17">
      <c r="B80" s="3"/>
      <c r="C80" s="3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3"/>
    </row>
    <row r="81" spans="2:17">
      <c r="B81" s="3"/>
      <c r="C81" s="3" t="s">
        <v>2478</v>
      </c>
      <c r="D81" s="87"/>
      <c r="E81" s="266">
        <v>300</v>
      </c>
      <c r="F81" s="266">
        <v>300</v>
      </c>
      <c r="G81" s="266">
        <v>300</v>
      </c>
      <c r="H81" s="266">
        <v>302.01711299999999</v>
      </c>
      <c r="I81" s="266">
        <v>302.01711299999999</v>
      </c>
      <c r="J81" s="457">
        <f t="shared" ref="J81:P81" si="68">I81</f>
        <v>302.01711299999999</v>
      </c>
      <c r="K81" s="457">
        <f t="shared" si="68"/>
        <v>302.01711299999999</v>
      </c>
      <c r="L81" s="457">
        <f t="shared" si="68"/>
        <v>302.01711299999999</v>
      </c>
      <c r="M81" s="457">
        <f t="shared" si="68"/>
        <v>302.01711299999999</v>
      </c>
      <c r="N81" s="457">
        <f t="shared" si="68"/>
        <v>302.01711299999999</v>
      </c>
      <c r="O81" s="457">
        <f t="shared" si="68"/>
        <v>302.01711299999999</v>
      </c>
      <c r="P81" s="457">
        <f t="shared" si="68"/>
        <v>302.01711299999999</v>
      </c>
      <c r="Q81" s="3"/>
    </row>
    <row r="82" spans="2:17">
      <c r="B82" s="3"/>
      <c r="C82" s="2" t="s">
        <v>258</v>
      </c>
      <c r="D82" s="379"/>
      <c r="E82" s="379">
        <f t="shared" ref="E82:P82" si="69">E78/E81</f>
        <v>511.58</v>
      </c>
      <c r="F82" s="379">
        <f t="shared" si="69"/>
        <v>281.55</v>
      </c>
      <c r="G82" s="379">
        <f t="shared" si="69"/>
        <v>249.92</v>
      </c>
      <c r="H82" s="379">
        <f t="shared" si="69"/>
        <v>3300.4354955210765</v>
      </c>
      <c r="I82" s="379">
        <f t="shared" si="69"/>
        <v>294.30120405130816</v>
      </c>
      <c r="J82" s="379">
        <f t="shared" si="69"/>
        <v>335.39071556609963</v>
      </c>
      <c r="K82" s="379">
        <f t="shared" si="69"/>
        <v>386.78987141048998</v>
      </c>
      <c r="L82" s="379">
        <f t="shared" si="69"/>
        <v>542.45129122655817</v>
      </c>
      <c r="M82" s="379">
        <f t="shared" si="69"/>
        <v>683.26681898966274</v>
      </c>
      <c r="N82" s="379">
        <f t="shared" si="69"/>
        <v>756.17873289048919</v>
      </c>
      <c r="O82" s="379">
        <f t="shared" si="69"/>
        <v>837.15190141379901</v>
      </c>
      <c r="P82" s="379">
        <f t="shared" si="69"/>
        <v>926.534976093198</v>
      </c>
      <c r="Q82" s="3"/>
    </row>
    <row r="83" spans="2:17">
      <c r="B83" s="3"/>
      <c r="C83" s="3" t="s">
        <v>101</v>
      </c>
      <c r="D83" s="87"/>
      <c r="E83" s="87">
        <f>E25-E39-E69-E74-E64</f>
        <v>-93744</v>
      </c>
      <c r="F83" s="87">
        <f>F25-F39-F69-F74-F64</f>
        <v>69212</v>
      </c>
      <c r="G83" s="87">
        <f>G25-G39-G69-G74-G64</f>
        <v>16937</v>
      </c>
      <c r="H83" s="87">
        <f t="shared" ref="H83:P83" si="70">H29-H39-H69-H74</f>
        <v>-202345</v>
      </c>
      <c r="I83" s="87">
        <f t="shared" si="70"/>
        <v>-29145</v>
      </c>
      <c r="J83" s="87">
        <f t="shared" si="70"/>
        <v>-85470.770325424382</v>
      </c>
      <c r="K83" s="87">
        <f>K29-K39-K69-K74</f>
        <v>-51550.041717793909</v>
      </c>
      <c r="L83" s="87">
        <f t="shared" si="70"/>
        <v>7963.2710829501593</v>
      </c>
      <c r="M83" s="87">
        <f t="shared" si="70"/>
        <v>37865.490133502739</v>
      </c>
      <c r="N83" s="87">
        <f t="shared" si="70"/>
        <v>70925.563146353277</v>
      </c>
      <c r="O83" s="87">
        <f t="shared" si="70"/>
        <v>105879.88611722278</v>
      </c>
      <c r="P83" s="87">
        <f t="shared" si="70"/>
        <v>142829.09822744201</v>
      </c>
      <c r="Q83" s="3"/>
    </row>
    <row r="84" spans="2:17">
      <c r="B84" s="3"/>
      <c r="C84" s="3" t="s">
        <v>915</v>
      </c>
      <c r="D84" s="87"/>
      <c r="E84" s="87"/>
      <c r="F84" s="457">
        <v>0</v>
      </c>
      <c r="G84" s="457">
        <v>0</v>
      </c>
      <c r="H84" s="457">
        <v>400000</v>
      </c>
      <c r="I84" s="457">
        <v>0</v>
      </c>
      <c r="J84" s="457">
        <v>0</v>
      </c>
      <c r="K84" s="457">
        <v>0</v>
      </c>
      <c r="L84" s="457">
        <v>0</v>
      </c>
      <c r="M84" s="457">
        <v>0</v>
      </c>
      <c r="N84" s="457">
        <v>0</v>
      </c>
      <c r="O84" s="457">
        <v>0</v>
      </c>
      <c r="P84" s="457">
        <v>0</v>
      </c>
      <c r="Q84" s="3"/>
    </row>
    <row r="85" spans="2:17">
      <c r="B85" s="3"/>
      <c r="C85" s="3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3"/>
    </row>
    <row r="86" spans="2:17">
      <c r="B86" s="3"/>
      <c r="C86" s="3" t="s">
        <v>786</v>
      </c>
      <c r="D86" s="87"/>
      <c r="E86" s="266">
        <f>Master!E255</f>
        <v>411000</v>
      </c>
      <c r="F86" s="266">
        <f>(Notes!P541+Notes!P542+Notes!P543+Notes!P544)*1000</f>
        <v>93323.462414578564</v>
      </c>
      <c r="G86" s="266">
        <f>Notes!P547*1000-(139*G175)</f>
        <v>-59402.462414578651</v>
      </c>
      <c r="H86" s="266">
        <f>Analysis!C1127</f>
        <v>588874.52</v>
      </c>
      <c r="I86" s="266">
        <v>412000</v>
      </c>
      <c r="J86" s="457">
        <v>0</v>
      </c>
      <c r="K86" s="457">
        <v>0</v>
      </c>
      <c r="L86" s="457">
        <v>0</v>
      </c>
      <c r="M86" s="457">
        <v>0</v>
      </c>
      <c r="N86" s="457">
        <v>0</v>
      </c>
      <c r="O86" s="457">
        <v>0</v>
      </c>
      <c r="P86" s="457">
        <v>0</v>
      </c>
      <c r="Q86" s="3"/>
    </row>
    <row r="87" spans="2:17">
      <c r="B87" s="3"/>
      <c r="C87" s="3" t="s">
        <v>102</v>
      </c>
      <c r="D87" s="87"/>
      <c r="E87" s="87"/>
      <c r="F87" s="87"/>
      <c r="G87" s="87"/>
      <c r="H87" s="87"/>
      <c r="I87" s="87"/>
      <c r="J87" s="457">
        <v>0</v>
      </c>
      <c r="K87" s="457">
        <v>0</v>
      </c>
      <c r="L87" s="457">
        <v>0</v>
      </c>
      <c r="M87" s="457">
        <v>0</v>
      </c>
      <c r="N87" s="457">
        <v>0</v>
      </c>
      <c r="O87" s="457">
        <v>0</v>
      </c>
      <c r="P87" s="457">
        <v>0</v>
      </c>
      <c r="Q87" s="3"/>
    </row>
    <row r="88" spans="2:17">
      <c r="B88" s="3"/>
      <c r="C88" s="3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3"/>
    </row>
    <row r="89" spans="2:17">
      <c r="B89" s="3"/>
      <c r="C89" s="3" t="s">
        <v>1718</v>
      </c>
      <c r="D89" s="87"/>
      <c r="E89" s="266">
        <v>0</v>
      </c>
      <c r="F89" s="266">
        <v>0</v>
      </c>
      <c r="G89" s="266">
        <v>0</v>
      </c>
      <c r="H89" s="266">
        <v>0</v>
      </c>
      <c r="I89" s="266">
        <v>0</v>
      </c>
      <c r="J89" s="457">
        <v>0</v>
      </c>
      <c r="K89" s="457">
        <v>0</v>
      </c>
      <c r="L89" s="457">
        <v>0</v>
      </c>
      <c r="M89" s="457">
        <v>0</v>
      </c>
      <c r="N89" s="457">
        <v>0</v>
      </c>
      <c r="O89" s="457">
        <v>0</v>
      </c>
      <c r="P89" s="457">
        <v>0</v>
      </c>
      <c r="Q89" s="3"/>
    </row>
    <row r="90" spans="2:17">
      <c r="B90" s="3"/>
      <c r="C90" s="3" t="s">
        <v>1719</v>
      </c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3"/>
    </row>
    <row r="91" spans="2:17">
      <c r="B91" s="3"/>
      <c r="C91" s="3" t="s">
        <v>1720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3"/>
    </row>
    <row r="92" spans="2:17">
      <c r="B92" s="3"/>
      <c r="C92" s="3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3"/>
    </row>
    <row r="93" spans="2:17">
      <c r="B93" s="3"/>
      <c r="C93" s="3" t="s">
        <v>103</v>
      </c>
      <c r="D93" s="87"/>
      <c r="E93" s="266">
        <v>0</v>
      </c>
      <c r="F93" s="266">
        <v>154</v>
      </c>
      <c r="G93" s="266">
        <f>700+139</f>
        <v>839</v>
      </c>
      <c r="H93" s="266">
        <f>200+470+470+100</f>
        <v>1240</v>
      </c>
      <c r="I93" s="266">
        <v>94</v>
      </c>
      <c r="J93" s="457">
        <v>150</v>
      </c>
      <c r="K93" s="457">
        <f>J93*1.1</f>
        <v>165</v>
      </c>
      <c r="L93" s="457">
        <f t="shared" ref="L93:P93" si="71">K93*1.1</f>
        <v>181.50000000000003</v>
      </c>
      <c r="M93" s="457">
        <f t="shared" si="71"/>
        <v>199.65000000000003</v>
      </c>
      <c r="N93" s="457">
        <f t="shared" si="71"/>
        <v>219.61500000000007</v>
      </c>
      <c r="O93" s="457">
        <f t="shared" si="71"/>
        <v>241.5765000000001</v>
      </c>
      <c r="P93" s="457">
        <f t="shared" si="71"/>
        <v>265.73415000000011</v>
      </c>
      <c r="Q93" s="3"/>
    </row>
    <row r="94" spans="2:17">
      <c r="B94" s="3"/>
      <c r="C94" s="3" t="s">
        <v>63</v>
      </c>
      <c r="D94" s="87"/>
      <c r="E94" s="87"/>
      <c r="F94" s="5"/>
      <c r="G94" s="5">
        <f t="shared" ref="G94:P94" si="72">G93/F93-1</f>
        <v>4.4480519480519485</v>
      </c>
      <c r="H94" s="5">
        <f t="shared" si="72"/>
        <v>0.4779499404052443</v>
      </c>
      <c r="I94" s="5">
        <f t="shared" si="72"/>
        <v>-0.92419354838709677</v>
      </c>
      <c r="J94" s="5">
        <f t="shared" si="72"/>
        <v>0.5957446808510638</v>
      </c>
      <c r="K94" s="5">
        <f t="shared" si="72"/>
        <v>0.10000000000000009</v>
      </c>
      <c r="L94" s="5">
        <f t="shared" si="72"/>
        <v>0.10000000000000009</v>
      </c>
      <c r="M94" s="5">
        <f t="shared" si="72"/>
        <v>0.10000000000000009</v>
      </c>
      <c r="N94" s="5">
        <f t="shared" si="72"/>
        <v>0.10000000000000009</v>
      </c>
      <c r="O94" s="5">
        <f t="shared" si="72"/>
        <v>0.10000000000000009</v>
      </c>
      <c r="P94" s="5">
        <f t="shared" si="72"/>
        <v>0.10000000000000009</v>
      </c>
      <c r="Q94" s="3"/>
    </row>
    <row r="95" spans="2:17">
      <c r="B95" s="3"/>
      <c r="C95" s="3" t="s">
        <v>2816</v>
      </c>
      <c r="D95" s="87"/>
      <c r="E95" s="87"/>
      <c r="F95" s="87">
        <f>F93*E81</f>
        <v>46200</v>
      </c>
      <c r="G95" s="87">
        <f t="shared" ref="G95:P95" si="73">G93*F81</f>
        <v>251700</v>
      </c>
      <c r="H95" s="87">
        <f t="shared" si="73"/>
        <v>372000</v>
      </c>
      <c r="I95" s="87">
        <f t="shared" si="73"/>
        <v>28389.608622</v>
      </c>
      <c r="J95" s="87">
        <f t="shared" si="73"/>
        <v>45302.56695</v>
      </c>
      <c r="K95" s="87">
        <f t="shared" si="73"/>
        <v>49832.823644999997</v>
      </c>
      <c r="L95" s="87">
        <f t="shared" si="73"/>
        <v>54816.106009500007</v>
      </c>
      <c r="M95" s="87">
        <f t="shared" si="73"/>
        <v>60297.716610450007</v>
      </c>
      <c r="N95" s="87">
        <f t="shared" si="73"/>
        <v>66327.488271495022</v>
      </c>
      <c r="O95" s="87">
        <f t="shared" si="73"/>
        <v>72960.237098644531</v>
      </c>
      <c r="P95" s="87">
        <f t="shared" si="73"/>
        <v>80256.260808508989</v>
      </c>
      <c r="Q95" s="3"/>
    </row>
    <row r="96" spans="2:17">
      <c r="B96" s="3"/>
      <c r="C96" s="3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3"/>
    </row>
    <row r="97" spans="2:20">
      <c r="B97" s="3"/>
      <c r="C97" s="3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3"/>
    </row>
    <row r="98" spans="2:20">
      <c r="B98" s="3"/>
      <c r="C98" s="3" t="s">
        <v>104</v>
      </c>
      <c r="D98" s="87"/>
      <c r="E98" s="5"/>
      <c r="F98" s="5">
        <f t="shared" ref="F98:P98" si="74">F95/F83</f>
        <v>0.6675143038779402</v>
      </c>
      <c r="G98" s="5">
        <f t="shared" si="74"/>
        <v>14.860955304953652</v>
      </c>
      <c r="H98" s="5">
        <f t="shared" si="74"/>
        <v>-1.8384442412710964</v>
      </c>
      <c r="I98" s="5">
        <f t="shared" si="74"/>
        <v>-0.974081613381369</v>
      </c>
      <c r="J98" s="5">
        <f t="shared" si="74"/>
        <v>-0.53003578624029513</v>
      </c>
      <c r="K98" s="5">
        <f t="shared" si="74"/>
        <v>-0.9666883281648021</v>
      </c>
      <c r="L98" s="5">
        <f t="shared" si="74"/>
        <v>6.8836167246478119</v>
      </c>
      <c r="M98" s="5">
        <f t="shared" si="74"/>
        <v>1.5924187538008288</v>
      </c>
      <c r="N98" s="5">
        <f t="shared" si="74"/>
        <v>0.93517041429237246</v>
      </c>
      <c r="O98" s="5">
        <f t="shared" si="74"/>
        <v>0.68908496008267406</v>
      </c>
      <c r="P98" s="5">
        <f t="shared" si="74"/>
        <v>0.56190413441320186</v>
      </c>
      <c r="Q98" s="3"/>
      <c r="R98" s="3"/>
      <c r="S98" s="3"/>
    </row>
    <row r="99" spans="2:20">
      <c r="B99" s="3"/>
      <c r="C99" s="3" t="s">
        <v>105</v>
      </c>
      <c r="D99" s="87"/>
      <c r="E99" s="5"/>
      <c r="F99" s="5">
        <f>F93/F82</f>
        <v>0.54697211862901796</v>
      </c>
      <c r="G99" s="5">
        <f t="shared" ref="G99:I99" si="75">G93/G82</f>
        <v>3.3570742637644049</v>
      </c>
      <c r="H99" s="5">
        <f t="shared" si="75"/>
        <v>0.37570799419736195</v>
      </c>
      <c r="I99" s="5">
        <f t="shared" si="75"/>
        <v>0.3194006640340219</v>
      </c>
      <c r="J99" s="5">
        <f>J93/I82</f>
        <v>0.50968191069258817</v>
      </c>
      <c r="K99" s="5">
        <f t="shared" ref="K99:P99" si="76">K93/J82</f>
        <v>0.49196352892923595</v>
      </c>
      <c r="L99" s="5">
        <f t="shared" si="76"/>
        <v>0.46924703415353608</v>
      </c>
      <c r="M99" s="5">
        <f t="shared" si="76"/>
        <v>0.36805147896055973</v>
      </c>
      <c r="N99" s="5">
        <f t="shared" si="76"/>
        <v>0.32141909119008844</v>
      </c>
      <c r="O99" s="5">
        <f t="shared" si="76"/>
        <v>0.31947010606417769</v>
      </c>
      <c r="P99" s="5">
        <f t="shared" si="76"/>
        <v>0.31742644262196973</v>
      </c>
      <c r="Q99" s="3"/>
      <c r="R99" s="3"/>
      <c r="S99" s="3"/>
    </row>
    <row r="100" spans="2:20">
      <c r="B100" s="3"/>
      <c r="C100" s="3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3"/>
      <c r="R100" s="3"/>
      <c r="S100" s="3"/>
    </row>
    <row r="101" spans="2:20">
      <c r="B101" s="3"/>
      <c r="C101" s="3" t="s">
        <v>2612</v>
      </c>
      <c r="D101" s="266">
        <v>1638065</v>
      </c>
      <c r="E101" s="266">
        <v>1211178</v>
      </c>
      <c r="F101" s="266">
        <v>1156904</v>
      </c>
      <c r="G101" s="266">
        <v>1299800</v>
      </c>
      <c r="H101" s="266">
        <v>1598400</v>
      </c>
      <c r="I101" s="266">
        <v>1148000</v>
      </c>
      <c r="J101" s="87">
        <f>I101-J83+J84-J86-J87-J89+J95</f>
        <v>1278773.3372754243</v>
      </c>
      <c r="K101" s="87">
        <f t="shared" ref="K101:P101" si="77">J101-K83+K84-K86-K87-K89+K95</f>
        <v>1380156.2026382182</v>
      </c>
      <c r="L101" s="87">
        <f t="shared" si="77"/>
        <v>1427009.0375647682</v>
      </c>
      <c r="M101" s="87">
        <f t="shared" si="77"/>
        <v>1449441.2640417155</v>
      </c>
      <c r="N101" s="87">
        <f t="shared" si="77"/>
        <v>1444843.1891668574</v>
      </c>
      <c r="O101" s="87">
        <f t="shared" si="77"/>
        <v>1411923.5401482792</v>
      </c>
      <c r="P101" s="87">
        <f t="shared" si="77"/>
        <v>1349350.7027293462</v>
      </c>
      <c r="Q101" s="3"/>
      <c r="R101" s="3"/>
      <c r="S101" s="3"/>
      <c r="T101" s="166"/>
    </row>
    <row r="102" spans="2:20">
      <c r="B102" s="3"/>
      <c r="C102" s="3" t="s">
        <v>1623</v>
      </c>
      <c r="D102" s="87"/>
      <c r="E102" s="465">
        <f t="shared" ref="E102:P102" si="78">E101/E29</f>
        <v>2.4704507349071729</v>
      </c>
      <c r="F102" s="465">
        <f t="shared" si="78"/>
        <v>2.1759813418097691</v>
      </c>
      <c r="G102" s="465">
        <f t="shared" si="78"/>
        <v>2.0291841580634231</v>
      </c>
      <c r="H102" s="465">
        <f t="shared" si="78"/>
        <v>2.6043516656836259</v>
      </c>
      <c r="I102" s="465">
        <f t="shared" si="78"/>
        <v>1.8888351415474627</v>
      </c>
      <c r="J102" s="465">
        <f t="shared" si="78"/>
        <v>2.1252088994582303</v>
      </c>
      <c r="K102" s="465">
        <f t="shared" si="78"/>
        <v>2.1954488569986963</v>
      </c>
      <c r="L102" s="465">
        <f t="shared" si="78"/>
        <v>2.1526361476926219</v>
      </c>
      <c r="M102" s="465">
        <f t="shared" si="78"/>
        <v>2.0757378681324408</v>
      </c>
      <c r="N102" s="465">
        <f t="shared" si="78"/>
        <v>1.9724840271280328</v>
      </c>
      <c r="O102" s="465">
        <f t="shared" si="78"/>
        <v>1.8390617564565688</v>
      </c>
      <c r="P102" s="465">
        <f t="shared" si="78"/>
        <v>1.6782343862024043</v>
      </c>
      <c r="Q102" s="3"/>
      <c r="R102" s="3"/>
      <c r="S102" s="3"/>
    </row>
    <row r="103" spans="2:20">
      <c r="B103" s="3"/>
      <c r="C103" s="304" t="s">
        <v>2618</v>
      </c>
      <c r="D103" s="87"/>
      <c r="E103" s="469">
        <f>E101/(E29+E20)</f>
        <v>1.7622696909424502</v>
      </c>
      <c r="F103" s="463"/>
      <c r="G103" s="463"/>
      <c r="H103" s="469">
        <v>2.17</v>
      </c>
      <c r="I103" s="469">
        <v>1.61</v>
      </c>
      <c r="J103" s="463"/>
      <c r="K103" s="463"/>
      <c r="L103" s="463"/>
      <c r="M103" s="463"/>
      <c r="N103" s="463"/>
      <c r="O103" s="463"/>
      <c r="P103" s="463"/>
      <c r="Q103" s="3"/>
      <c r="R103" s="3"/>
      <c r="S103" s="3"/>
    </row>
    <row r="104" spans="2:20">
      <c r="B104" s="3"/>
      <c r="C104" s="304"/>
      <c r="D104" s="87"/>
      <c r="E104" s="463"/>
      <c r="F104" s="463"/>
      <c r="G104" s="463"/>
      <c r="H104" s="463"/>
      <c r="I104" s="463"/>
      <c r="J104" s="463"/>
      <c r="K104" s="463"/>
      <c r="L104" s="463"/>
      <c r="M104" s="463"/>
      <c r="N104" s="463"/>
      <c r="O104" s="463"/>
      <c r="P104" s="463"/>
      <c r="Q104" s="3"/>
      <c r="R104" s="3"/>
      <c r="S104" s="3"/>
    </row>
    <row r="105" spans="2:20">
      <c r="B105" s="3"/>
      <c r="C105" s="3" t="s">
        <v>2601</v>
      </c>
      <c r="D105" s="87"/>
      <c r="E105" s="266">
        <f>432946+68943</f>
        <v>501889</v>
      </c>
      <c r="F105" s="87">
        <f>F106-F101</f>
        <v>504227</v>
      </c>
      <c r="G105" s="87">
        <f>G106-G101</f>
        <v>591500</v>
      </c>
      <c r="H105" s="87">
        <f>H106-H101</f>
        <v>312800</v>
      </c>
      <c r="I105" s="87">
        <f>I106-I101</f>
        <v>592793</v>
      </c>
      <c r="J105" s="528">
        <f>J232+J237</f>
        <v>592882.97100000002</v>
      </c>
      <c r="K105" s="528">
        <f t="shared" ref="K105:P105" si="79">K232+K237</f>
        <v>592882.97100000002</v>
      </c>
      <c r="L105" s="528">
        <f t="shared" si="79"/>
        <v>592882.97100000002</v>
      </c>
      <c r="M105" s="528">
        <f t="shared" si="79"/>
        <v>592882.97100000002</v>
      </c>
      <c r="N105" s="528">
        <f t="shared" si="79"/>
        <v>592882.97100000002</v>
      </c>
      <c r="O105" s="528">
        <f t="shared" si="79"/>
        <v>592882.97100000002</v>
      </c>
      <c r="P105" s="528">
        <f t="shared" si="79"/>
        <v>592882.97100000002</v>
      </c>
      <c r="Q105" s="3"/>
      <c r="R105" s="3"/>
      <c r="S105" s="3"/>
    </row>
    <row r="106" spans="2:20">
      <c r="B106" s="3"/>
      <c r="C106" s="3" t="s">
        <v>2600</v>
      </c>
      <c r="D106" s="87"/>
      <c r="E106" s="87">
        <f>E101+E105</f>
        <v>1713067</v>
      </c>
      <c r="F106" s="266">
        <v>1661131</v>
      </c>
      <c r="G106" s="266">
        <v>1891300</v>
      </c>
      <c r="H106" s="266">
        <v>1911200</v>
      </c>
      <c r="I106" s="266">
        <f>I101+120890+471903</f>
        <v>1740793</v>
      </c>
      <c r="J106" s="87">
        <f t="shared" ref="J106:P106" si="80">J101+J105</f>
        <v>1871656.3082754244</v>
      </c>
      <c r="K106" s="87">
        <f t="shared" si="80"/>
        <v>1973039.1736382181</v>
      </c>
      <c r="L106" s="87">
        <f t="shared" si="80"/>
        <v>2019892.0085647684</v>
      </c>
      <c r="M106" s="87">
        <f t="shared" si="80"/>
        <v>2042324.2350417157</v>
      </c>
      <c r="N106" s="87">
        <f t="shared" si="80"/>
        <v>2037726.1601668573</v>
      </c>
      <c r="O106" s="87">
        <f t="shared" si="80"/>
        <v>2004806.5111482791</v>
      </c>
      <c r="P106" s="87">
        <f t="shared" si="80"/>
        <v>1942233.6737293461</v>
      </c>
      <c r="Q106" s="3"/>
      <c r="R106" s="3"/>
      <c r="S106" s="3"/>
    </row>
    <row r="107" spans="2:20">
      <c r="B107" s="3"/>
      <c r="C107" s="3" t="s">
        <v>1623</v>
      </c>
      <c r="D107" s="87"/>
      <c r="E107" s="465">
        <f t="shared" ref="E107:P107" si="81">E106/E25</f>
        <v>2.9874351265381289</v>
      </c>
      <c r="F107" s="465">
        <f t="shared" si="81"/>
        <v>2.5864524798246147</v>
      </c>
      <c r="G107" s="465">
        <f t="shared" si="81"/>
        <v>2.4965909975935676</v>
      </c>
      <c r="H107" s="465">
        <f>H106/H25</f>
        <v>2.5530118647192248</v>
      </c>
      <c r="I107" s="465">
        <f t="shared" si="81"/>
        <v>2.3167635981314629</v>
      </c>
      <c r="J107" s="465">
        <f t="shared" si="81"/>
        <v>2.4872345930438851</v>
      </c>
      <c r="K107" s="465">
        <f t="shared" si="81"/>
        <v>2.507127457471984</v>
      </c>
      <c r="L107" s="465">
        <f t="shared" si="81"/>
        <v>2.4360804218719814</v>
      </c>
      <c r="M107" s="465">
        <f t="shared" si="81"/>
        <v>2.3398769713843972</v>
      </c>
      <c r="N107" s="465">
        <f t="shared" si="81"/>
        <v>2.2251176645083452</v>
      </c>
      <c r="O107" s="465">
        <f t="shared" si="81"/>
        <v>2.087927559592202</v>
      </c>
      <c r="P107" s="465">
        <f t="shared" si="81"/>
        <v>1.9304563007819706</v>
      </c>
      <c r="Q107" s="3"/>
      <c r="R107" s="3"/>
      <c r="S107" s="3"/>
    </row>
    <row r="108" spans="2:20">
      <c r="B108" s="3"/>
      <c r="C108" s="304" t="s">
        <v>2618</v>
      </c>
      <c r="D108" s="87"/>
      <c r="E108" s="469">
        <f>E101/E14</f>
        <v>1.5720580810211295</v>
      </c>
      <c r="F108" s="465"/>
      <c r="G108" s="465"/>
      <c r="H108" s="469">
        <v>3</v>
      </c>
      <c r="I108" s="469">
        <v>2.4500000000000002</v>
      </c>
      <c r="J108" s="465"/>
      <c r="K108" s="465"/>
      <c r="L108" s="465"/>
      <c r="M108" s="465"/>
      <c r="N108" s="465"/>
      <c r="O108" s="465"/>
      <c r="P108" s="465"/>
      <c r="Q108" s="3"/>
      <c r="R108" s="3"/>
      <c r="S108" s="3"/>
    </row>
    <row r="109" spans="2:20">
      <c r="B109" s="3"/>
      <c r="C109" s="3" t="s">
        <v>2606</v>
      </c>
      <c r="D109" s="87"/>
      <c r="E109" s="465">
        <f t="shared" ref="E109:P109" si="82">E105/E28</f>
        <v>6.035366410928594</v>
      </c>
      <c r="F109" s="465">
        <f t="shared" si="82"/>
        <v>4.5601276984435621</v>
      </c>
      <c r="G109" s="465">
        <f t="shared" si="82"/>
        <v>5.0555555555555554</v>
      </c>
      <c r="H109" s="465">
        <f t="shared" si="82"/>
        <v>2.31937359117333</v>
      </c>
      <c r="I109" s="465">
        <f t="shared" si="82"/>
        <v>4.1278549941507441</v>
      </c>
      <c r="J109" s="465">
        <f t="shared" si="82"/>
        <v>3.9318871411859271</v>
      </c>
      <c r="K109" s="465">
        <f t="shared" si="82"/>
        <v>3.7446544201770733</v>
      </c>
      <c r="L109" s="465">
        <f t="shared" si="82"/>
        <v>3.5663375430257838</v>
      </c>
      <c r="M109" s="465">
        <f t="shared" si="82"/>
        <v>3.3965119457388413</v>
      </c>
      <c r="N109" s="465">
        <f t="shared" si="82"/>
        <v>3.2347732816560395</v>
      </c>
      <c r="O109" s="465">
        <f t="shared" si="82"/>
        <v>3.0807364587200374</v>
      </c>
      <c r="P109" s="465">
        <f t="shared" si="82"/>
        <v>2.9340347225905115</v>
      </c>
      <c r="Q109" s="3"/>
      <c r="R109" s="3"/>
      <c r="S109" s="3"/>
    </row>
    <row r="110" spans="2:20">
      <c r="B110" s="3"/>
      <c r="C110" s="3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3"/>
      <c r="R110" s="3"/>
      <c r="S110" s="3"/>
    </row>
    <row r="111" spans="2:20">
      <c r="B111" s="3"/>
      <c r="C111" s="3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3"/>
      <c r="R111" s="3"/>
      <c r="S111" s="3"/>
    </row>
    <row r="112" spans="2:20">
      <c r="B112" s="3"/>
      <c r="C112" s="3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3"/>
      <c r="R112" s="3"/>
      <c r="S112" s="3"/>
    </row>
    <row r="113" spans="2:21">
      <c r="B113" s="3"/>
      <c r="C113" s="644" t="s">
        <v>2494</v>
      </c>
      <c r="D113" s="272">
        <f t="shared" ref="D113:P113" si="83">D2</f>
        <v>2018</v>
      </c>
      <c r="E113" s="272">
        <f t="shared" si="83"/>
        <v>2019</v>
      </c>
      <c r="F113" s="272">
        <f t="shared" si="83"/>
        <v>2020</v>
      </c>
      <c r="G113" s="272">
        <f t="shared" si="83"/>
        <v>2021</v>
      </c>
      <c r="H113" s="272">
        <f t="shared" si="83"/>
        <v>2022</v>
      </c>
      <c r="I113" s="272">
        <f t="shared" si="83"/>
        <v>2023</v>
      </c>
      <c r="J113" s="272">
        <f t="shared" si="83"/>
        <v>2024</v>
      </c>
      <c r="K113" s="272">
        <f t="shared" si="83"/>
        <v>2025</v>
      </c>
      <c r="L113" s="272">
        <f t="shared" si="83"/>
        <v>2026</v>
      </c>
      <c r="M113" s="272">
        <f t="shared" si="83"/>
        <v>2027</v>
      </c>
      <c r="N113" s="272">
        <f t="shared" si="83"/>
        <v>2028</v>
      </c>
      <c r="O113" s="272">
        <f t="shared" si="83"/>
        <v>2029</v>
      </c>
      <c r="P113" s="272">
        <f t="shared" si="83"/>
        <v>2030</v>
      </c>
      <c r="Q113" s="3"/>
      <c r="R113" s="3"/>
      <c r="S113" s="3"/>
    </row>
    <row r="114" spans="2:2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2:21">
      <c r="B115" s="3"/>
      <c r="C115" s="87" t="s">
        <v>267</v>
      </c>
      <c r="D115" s="266">
        <v>1001678</v>
      </c>
      <c r="E115" s="266">
        <v>950478</v>
      </c>
      <c r="F115" s="266">
        <f>'New Ints'!K3+'New Ints'!L3+'New Ints'!M3+'New Ints'!N3</f>
        <v>1016431</v>
      </c>
      <c r="G115" s="266">
        <f>'New Ints'!O3+'New Ints'!P3+'New Ints'!Q3+'New Ints'!R3</f>
        <v>1187687</v>
      </c>
      <c r="H115" s="266">
        <f>'New Ints'!S3+'New Ints'!T3+'New Ints'!U3+'New Ints'!V3</f>
        <v>1166866</v>
      </c>
      <c r="I115" s="266">
        <f>'New Ints'!X3+'New Ints'!Y3+'New Ints'!Z3+'New Ints'!W3</f>
        <v>1161011</v>
      </c>
      <c r="J115" s="87">
        <f t="shared" ref="J115:P115" si="84">(1+J116)*I115</f>
        <v>1172621.1100000001</v>
      </c>
      <c r="K115" s="87">
        <f t="shared" si="84"/>
        <v>1184347.3211000001</v>
      </c>
      <c r="L115" s="87">
        <f t="shared" si="84"/>
        <v>1196190.794311</v>
      </c>
      <c r="M115" s="87">
        <f t="shared" si="84"/>
        <v>1208152.70225411</v>
      </c>
      <c r="N115" s="87">
        <f t="shared" si="84"/>
        <v>1220234.2292766511</v>
      </c>
      <c r="O115" s="87">
        <f t="shared" si="84"/>
        <v>1232436.5715694176</v>
      </c>
      <c r="P115" s="87">
        <f t="shared" si="84"/>
        <v>1244760.9372851118</v>
      </c>
      <c r="Q115" s="3"/>
      <c r="R115" s="3"/>
      <c r="S115" s="3"/>
    </row>
    <row r="116" spans="2:21">
      <c r="B116" s="3"/>
      <c r="C116" s="87" t="s">
        <v>2515</v>
      </c>
      <c r="D116" s="87"/>
      <c r="E116" s="5">
        <f>E115/D115-1</f>
        <v>-5.1114230321520515E-2</v>
      </c>
      <c r="F116" s="5">
        <f>F115/E115-1</f>
        <v>6.9389296753843865E-2</v>
      </c>
      <c r="G116" s="5">
        <f>G115/F115-1</f>
        <v>0.1684875805637569</v>
      </c>
      <c r="H116" s="5">
        <f>H115/G115-1</f>
        <v>-1.753071305823839E-2</v>
      </c>
      <c r="I116" s="5">
        <f>I115/H115-1</f>
        <v>-5.0177141162738303E-3</v>
      </c>
      <c r="J116" s="97">
        <v>0.01</v>
      </c>
      <c r="K116" s="97">
        <v>0.01</v>
      </c>
      <c r="L116" s="97">
        <v>0.01</v>
      </c>
      <c r="M116" s="97">
        <v>0.01</v>
      </c>
      <c r="N116" s="97">
        <v>0.01</v>
      </c>
      <c r="O116" s="97">
        <v>0.01</v>
      </c>
      <c r="P116" s="97">
        <v>0.01</v>
      </c>
      <c r="Q116" s="3"/>
      <c r="R116" s="3"/>
      <c r="S116" s="3"/>
    </row>
    <row r="117" spans="2:21">
      <c r="B117" s="3"/>
      <c r="C117" s="87" t="s">
        <v>146</v>
      </c>
      <c r="D117" s="266">
        <f>'New Ints'!C177+'New Ints'!D177+'New Ints'!E177+'New Ints'!F177</f>
        <v>399223</v>
      </c>
      <c r="E117" s="266">
        <f>'New Ints'!G177+'New Ints'!H177+'New Ints'!I177+'New Ints'!J177</f>
        <v>413453</v>
      </c>
      <c r="F117" s="266">
        <f>'New Ints'!K4+'New Ints'!L4+'New Ints'!M4+'New Ints'!N4</f>
        <v>417542</v>
      </c>
      <c r="G117" s="266">
        <f>'New Ints'!O4+'New Ints'!P4+'New Ints'!Q4+'New Ints'!R4</f>
        <v>434842</v>
      </c>
      <c r="H117" s="266">
        <f>'New Ints'!S4+'New Ints'!T4+'New Ints'!U4+'New Ints'!V4</f>
        <v>459051</v>
      </c>
      <c r="I117" s="266">
        <f>'New Ints'!X4+'New Ints'!Y4+'New Ints'!Z4+'New Ints'!W4</f>
        <v>482237</v>
      </c>
      <c r="J117" s="87">
        <f t="shared" ref="J117:P117" si="85">(1+J118)*I117</f>
        <v>506348.85000000003</v>
      </c>
      <c r="K117" s="87">
        <f t="shared" si="85"/>
        <v>526602.804</v>
      </c>
      <c r="L117" s="87">
        <f t="shared" si="85"/>
        <v>542400.88812000002</v>
      </c>
      <c r="M117" s="87">
        <f t="shared" si="85"/>
        <v>558672.91476359998</v>
      </c>
      <c r="N117" s="87">
        <f t="shared" si="85"/>
        <v>575433.10220650805</v>
      </c>
      <c r="O117" s="87">
        <f t="shared" si="85"/>
        <v>592696.09527270333</v>
      </c>
      <c r="P117" s="87">
        <f t="shared" si="85"/>
        <v>610476.97813088447</v>
      </c>
      <c r="Q117" s="3"/>
      <c r="R117" s="3"/>
      <c r="S117" s="3"/>
    </row>
    <row r="118" spans="2:21">
      <c r="B118" s="3"/>
      <c r="C118" s="87" t="s">
        <v>2515</v>
      </c>
      <c r="D118" s="87"/>
      <c r="E118" s="5">
        <f>E117/D117-1</f>
        <v>3.5644238934129602E-2</v>
      </c>
      <c r="F118" s="5">
        <f>F117/E117-1</f>
        <v>9.889878656098805E-3</v>
      </c>
      <c r="G118" s="5">
        <f>G117/F117-1</f>
        <v>4.1432957642584478E-2</v>
      </c>
      <c r="H118" s="5">
        <f>H117/G117-1</f>
        <v>5.567309505521556E-2</v>
      </c>
      <c r="I118" s="5">
        <f>I117/H117-1</f>
        <v>5.0508549159025806E-2</v>
      </c>
      <c r="J118" s="97">
        <v>0.05</v>
      </c>
      <c r="K118" s="97">
        <v>0.04</v>
      </c>
      <c r="L118" s="97">
        <v>0.03</v>
      </c>
      <c r="M118" s="97">
        <v>0.03</v>
      </c>
      <c r="N118" s="97">
        <v>0.03</v>
      </c>
      <c r="O118" s="97">
        <v>0.03</v>
      </c>
      <c r="P118" s="97">
        <v>0.03</v>
      </c>
      <c r="Q118" s="3"/>
      <c r="R118" s="3"/>
      <c r="S118" s="3"/>
    </row>
    <row r="119" spans="2:21">
      <c r="B119" s="3"/>
      <c r="C119" s="379" t="s">
        <v>20</v>
      </c>
      <c r="D119" s="379">
        <f t="shared" ref="D119:I119" si="86">D120-D115-D117</f>
        <v>8557</v>
      </c>
      <c r="E119" s="379">
        <f t="shared" si="86"/>
        <v>8716</v>
      </c>
      <c r="F119" s="379">
        <f t="shared" si="86"/>
        <v>13316</v>
      </c>
      <c r="G119" s="379">
        <f t="shared" si="86"/>
        <v>32402</v>
      </c>
      <c r="H119" s="379">
        <f t="shared" si="86"/>
        <v>39086</v>
      </c>
      <c r="I119" s="379">
        <f t="shared" si="86"/>
        <v>90622</v>
      </c>
      <c r="J119" s="452">
        <v>45000</v>
      </c>
      <c r="K119" s="452">
        <v>45000</v>
      </c>
      <c r="L119" s="452">
        <v>45000</v>
      </c>
      <c r="M119" s="452">
        <v>45000</v>
      </c>
      <c r="N119" s="452">
        <v>45000</v>
      </c>
      <c r="O119" s="452">
        <v>45000</v>
      </c>
      <c r="P119" s="452">
        <v>45000</v>
      </c>
      <c r="Q119" s="3"/>
      <c r="R119" s="5"/>
      <c r="S119" s="3"/>
    </row>
    <row r="120" spans="2:21">
      <c r="B120" s="3"/>
      <c r="C120" s="87" t="s">
        <v>2538</v>
      </c>
      <c r="D120" s="266">
        <v>1409458</v>
      </c>
      <c r="E120" s="266">
        <f>1492747-120100</f>
        <v>1372647</v>
      </c>
      <c r="F120" s="266">
        <f>'New Ints'!K6+'New Ints'!L6+'New Ints'!M6+'New Ints'!N6</f>
        <v>1447289</v>
      </c>
      <c r="G120" s="266">
        <f>'New Ints'!O6+'New Ints'!P6+'New Ints'!Q6+'New Ints'!R6</f>
        <v>1654931</v>
      </c>
      <c r="H120" s="266">
        <f>'New Ints'!S6+'New Ints'!T6+'New Ints'!U6+'New Ints'!V6</f>
        <v>1665003</v>
      </c>
      <c r="I120" s="266">
        <f>'New Ints'!X6+'New Ints'!Y6+'New Ints'!Z6+'New Ints'!W6</f>
        <v>1733870</v>
      </c>
      <c r="J120" s="87">
        <f t="shared" ref="J120:P120" si="87">J115+J117+J119</f>
        <v>1723969.9600000002</v>
      </c>
      <c r="K120" s="87">
        <f t="shared" si="87"/>
        <v>1755950.1251000001</v>
      </c>
      <c r="L120" s="87">
        <f t="shared" si="87"/>
        <v>1783591.6824310001</v>
      </c>
      <c r="M120" s="87">
        <f t="shared" si="87"/>
        <v>1811825.6170177101</v>
      </c>
      <c r="N120" s="87">
        <f t="shared" si="87"/>
        <v>1840667.3314831592</v>
      </c>
      <c r="O120" s="87">
        <f t="shared" si="87"/>
        <v>1870132.6668421209</v>
      </c>
      <c r="P120" s="87">
        <f t="shared" si="87"/>
        <v>1900237.9154159962</v>
      </c>
      <c r="Q120" s="3"/>
      <c r="R120" s="3"/>
      <c r="S120" s="3"/>
    </row>
    <row r="121" spans="2:21">
      <c r="B121" s="3"/>
      <c r="C121" s="87" t="s">
        <v>2534</v>
      </c>
      <c r="D121" s="87"/>
      <c r="E121" s="8">
        <f t="shared" ref="E121:P121" si="88">E120/D120-1</f>
        <v>-2.6117131549858175E-2</v>
      </c>
      <c r="F121" s="8">
        <f t="shared" si="88"/>
        <v>5.4378146748581324E-2</v>
      </c>
      <c r="G121" s="8">
        <f t="shared" si="88"/>
        <v>0.14346961802376712</v>
      </c>
      <c r="H121" s="8">
        <f t="shared" si="88"/>
        <v>6.086054343051206E-3</v>
      </c>
      <c r="I121" s="8">
        <f t="shared" si="88"/>
        <v>4.1361487036359668E-2</v>
      </c>
      <c r="J121" s="8">
        <f t="shared" si="88"/>
        <v>-5.7097936984893405E-3</v>
      </c>
      <c r="K121" s="8">
        <f t="shared" si="88"/>
        <v>1.8550302987877965E-2</v>
      </c>
      <c r="L121" s="8">
        <f t="shared" si="88"/>
        <v>1.5741652872643952E-2</v>
      </c>
      <c r="M121" s="8">
        <f t="shared" si="88"/>
        <v>1.5829819607718676E-2</v>
      </c>
      <c r="N121" s="8">
        <f t="shared" si="88"/>
        <v>1.5918592934414333E-2</v>
      </c>
      <c r="O121" s="8">
        <f t="shared" si="88"/>
        <v>1.6007963446180939E-2</v>
      </c>
      <c r="P121" s="8">
        <f t="shared" si="88"/>
        <v>1.6097921344110144E-2</v>
      </c>
      <c r="Q121" s="3"/>
      <c r="R121" s="3"/>
      <c r="S121" s="3"/>
    </row>
    <row r="122" spans="2:21">
      <c r="B122" s="3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3"/>
      <c r="R122" s="3"/>
      <c r="S122" s="3"/>
    </row>
    <row r="123" spans="2:21">
      <c r="B123" s="3"/>
      <c r="C123" s="87" t="s">
        <v>0</v>
      </c>
      <c r="D123" s="87">
        <f>Interims!AX4</f>
        <v>9260</v>
      </c>
      <c r="E123" s="87">
        <f>Interims!BB4</f>
        <v>9092</v>
      </c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3"/>
      <c r="R123" s="3"/>
      <c r="S123" s="3"/>
    </row>
    <row r="124" spans="2:21">
      <c r="B124" s="3"/>
      <c r="C124" s="87" t="s">
        <v>2489</v>
      </c>
      <c r="D124" s="87"/>
      <c r="E124" s="87">
        <f>E123-D123</f>
        <v>-168</v>
      </c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3"/>
      <c r="R124" s="3"/>
      <c r="S124" s="3"/>
    </row>
    <row r="125" spans="2:21">
      <c r="B125" s="3"/>
      <c r="C125" s="87" t="s">
        <v>399</v>
      </c>
      <c r="D125" s="87">
        <f>D128/AVERAGE(Interims!AT4,D123)/12*1000</f>
        <v>3408.5738803381355</v>
      </c>
      <c r="E125" s="87">
        <f>E128/AVERAGE(D123,E123)/12*1000</f>
        <v>3572.8621766928213</v>
      </c>
      <c r="F125" s="87"/>
      <c r="G125" s="87"/>
      <c r="H125" s="87"/>
      <c r="I125" s="87"/>
      <c r="J125" s="87"/>
      <c r="O125" s="87"/>
      <c r="P125" s="87"/>
      <c r="Q125" s="3"/>
      <c r="R125" s="87"/>
      <c r="S125" s="87"/>
      <c r="T125" s="87"/>
      <c r="U125" s="87"/>
    </row>
    <row r="126" spans="2:21">
      <c r="B126" s="3"/>
      <c r="C126" s="87" t="s">
        <v>63</v>
      </c>
      <c r="D126" s="87"/>
      <c r="E126" s="5">
        <f>E125/D125-1</f>
        <v>4.819854347366781E-2</v>
      </c>
      <c r="F126" s="87"/>
      <c r="G126" s="87"/>
      <c r="H126" s="87"/>
      <c r="I126" s="87"/>
      <c r="J126" s="87"/>
      <c r="O126" s="87"/>
      <c r="P126" s="87"/>
      <c r="Q126" s="3"/>
      <c r="R126" s="87"/>
      <c r="S126" s="87"/>
      <c r="T126" s="87"/>
      <c r="U126" s="87"/>
    </row>
    <row r="127" spans="2:21">
      <c r="B127" s="3"/>
      <c r="C127" s="87"/>
      <c r="D127" s="87"/>
      <c r="E127" s="87"/>
      <c r="F127" s="87"/>
      <c r="G127" s="87"/>
      <c r="H127" s="593"/>
      <c r="I127" s="87"/>
      <c r="J127" s="87"/>
      <c r="O127" s="87"/>
      <c r="P127" s="87"/>
      <c r="Q127" s="3"/>
      <c r="R127" s="87"/>
      <c r="S127" s="87"/>
      <c r="T127" s="87"/>
      <c r="U127" s="87"/>
    </row>
    <row r="128" spans="2:21">
      <c r="B128" s="3"/>
      <c r="C128" s="87" t="s">
        <v>267</v>
      </c>
      <c r="D128" s="266">
        <v>373382</v>
      </c>
      <c r="E128" s="266">
        <v>393415</v>
      </c>
      <c r="F128" s="266">
        <v>436357</v>
      </c>
      <c r="G128" s="266">
        <v>504247</v>
      </c>
      <c r="H128" s="266">
        <v>483446</v>
      </c>
      <c r="I128" s="266">
        <f>113039+123516+118513+117566</f>
        <v>472634</v>
      </c>
      <c r="J128" s="87"/>
      <c r="O128" s="87"/>
      <c r="P128" s="87"/>
      <c r="Q128" s="3"/>
      <c r="R128" s="87"/>
      <c r="S128" s="87"/>
      <c r="T128" s="87"/>
      <c r="U128" s="87"/>
    </row>
    <row r="129" spans="2:21">
      <c r="B129" s="3"/>
      <c r="C129" s="87" t="s">
        <v>146</v>
      </c>
      <c r="D129" s="266">
        <v>101695</v>
      </c>
      <c r="E129" s="266">
        <v>122257</v>
      </c>
      <c r="F129" s="266">
        <v>108289</v>
      </c>
      <c r="G129" s="266">
        <v>107112</v>
      </c>
      <c r="H129" s="266">
        <v>87159</v>
      </c>
      <c r="I129" s="266">
        <f>19301+15549+21826+10183</f>
        <v>66859</v>
      </c>
      <c r="J129" s="87"/>
      <c r="O129" s="87"/>
      <c r="P129" s="87"/>
      <c r="Q129" s="3"/>
      <c r="R129" s="87"/>
      <c r="S129" s="87"/>
      <c r="T129" s="87"/>
      <c r="U129" s="87"/>
    </row>
    <row r="130" spans="2:21">
      <c r="B130" s="3"/>
      <c r="C130" s="379" t="s">
        <v>20</v>
      </c>
      <c r="D130" s="379">
        <f t="shared" ref="D130:I130" si="89">D131-D128-D129</f>
        <v>-249</v>
      </c>
      <c r="E130" s="379">
        <f t="shared" si="89"/>
        <v>-828.5</v>
      </c>
      <c r="F130" s="379">
        <f t="shared" si="89"/>
        <v>32680</v>
      </c>
      <c r="G130" s="379">
        <f t="shared" si="89"/>
        <v>23668</v>
      </c>
      <c r="H130" s="379">
        <f t="shared" si="89"/>
        <v>474659</v>
      </c>
      <c r="I130" s="379">
        <f t="shared" si="89"/>
        <v>52805</v>
      </c>
      <c r="J130" s="379"/>
      <c r="K130" s="379"/>
      <c r="L130" s="379"/>
      <c r="M130" s="379"/>
      <c r="N130" s="379"/>
      <c r="O130" s="379"/>
      <c r="P130" s="379"/>
      <c r="Q130" s="3"/>
      <c r="R130" s="3"/>
      <c r="S130" s="3"/>
    </row>
    <row r="131" spans="2:21">
      <c r="B131" s="3"/>
      <c r="C131" s="87" t="s">
        <v>2512</v>
      </c>
      <c r="D131" s="266">
        <v>474828</v>
      </c>
      <c r="E131" s="266">
        <f>'New Ints'!G60+'New Ints'!H60+'New Ints'!I60+'New Ints'!J60</f>
        <v>514843.5</v>
      </c>
      <c r="F131" s="266">
        <f>'New Ints'!K37+'New Ints'!L37+'New Ints'!M37+'New Ints'!N37</f>
        <v>577326</v>
      </c>
      <c r="G131" s="266">
        <f>'New Ints'!O37+'New Ints'!P37+'New Ints'!Q37+'New Ints'!R37</f>
        <v>635027</v>
      </c>
      <c r="H131" s="266">
        <f>'New Ints'!S37+'New Ints'!T37+'New Ints'!U37+'New Ints'!V37</f>
        <v>1045264</v>
      </c>
      <c r="I131" s="266">
        <f>'New Ints'!W37+'New Ints'!X37+'New Ints'!Y37+'New Ints'!Z37</f>
        <v>592298</v>
      </c>
      <c r="J131" s="87">
        <f>J133+J132</f>
        <v>525810.8378000001</v>
      </c>
      <c r="K131" s="87">
        <f t="shared" ref="K131:P131" si="90">K133+K132</f>
        <v>544344.53878100007</v>
      </c>
      <c r="L131" s="87">
        <f t="shared" si="90"/>
        <v>570749.33837791998</v>
      </c>
      <c r="M131" s="87">
        <f t="shared" si="90"/>
        <v>597902.45361584437</v>
      </c>
      <c r="N131" s="87">
        <f t="shared" si="90"/>
        <v>625826.89270427416</v>
      </c>
      <c r="O131" s="87">
        <f t="shared" si="90"/>
        <v>654546.43339474231</v>
      </c>
      <c r="P131" s="87">
        <f t="shared" si="90"/>
        <v>684085.64954975864</v>
      </c>
      <c r="Q131" s="3"/>
      <c r="R131" s="3"/>
      <c r="S131" s="3"/>
    </row>
    <row r="132" spans="2:21">
      <c r="B132" s="3"/>
      <c r="C132" s="379" t="s">
        <v>2514</v>
      </c>
      <c r="D132" s="379">
        <v>0</v>
      </c>
      <c r="E132" s="452">
        <v>0</v>
      </c>
      <c r="F132" s="452">
        <f>'New Ints'!K50+'New Ints'!L50+'New Ints'!M50+'New Ints'!N50</f>
        <v>30200</v>
      </c>
      <c r="G132" s="452">
        <f>'New Ints'!O50+'New Ints'!P50+'New Ints'!Q50+'New Ints'!R50</f>
        <v>3700</v>
      </c>
      <c r="H132" s="452">
        <f>'New Ints'!S50+'New Ints'!T50+'New Ints'!U50+'New Ints'!V50</f>
        <v>479100</v>
      </c>
      <c r="I132" s="452">
        <f>'New Ints'!W50+'New Ints'!X50+'New Ints'!Y50+'New Ints'!Z50</f>
        <v>47800</v>
      </c>
      <c r="J132" s="452">
        <v>0</v>
      </c>
      <c r="K132" s="452">
        <v>0</v>
      </c>
      <c r="L132" s="452">
        <v>0</v>
      </c>
      <c r="M132" s="452">
        <v>0</v>
      </c>
      <c r="N132" s="452">
        <v>0</v>
      </c>
      <c r="O132" s="452">
        <v>0</v>
      </c>
      <c r="P132" s="452">
        <v>0</v>
      </c>
      <c r="Q132" s="3"/>
      <c r="R132" s="3"/>
      <c r="S132" s="3"/>
    </row>
    <row r="133" spans="2:21">
      <c r="B133" s="3"/>
      <c r="C133" s="87" t="s">
        <v>2513</v>
      </c>
      <c r="D133" s="87">
        <f t="shared" ref="D133:I133" si="91">D131-D132</f>
        <v>474828</v>
      </c>
      <c r="E133" s="87">
        <f t="shared" si="91"/>
        <v>514843.5</v>
      </c>
      <c r="F133" s="87">
        <f t="shared" si="91"/>
        <v>547126</v>
      </c>
      <c r="G133" s="87">
        <f t="shared" si="91"/>
        <v>631327</v>
      </c>
      <c r="H133" s="87">
        <f t="shared" si="91"/>
        <v>566164</v>
      </c>
      <c r="I133" s="87">
        <f t="shared" si="91"/>
        <v>544498</v>
      </c>
      <c r="J133" s="87">
        <f t="shared" ref="J133:P133" si="92">J134*J120</f>
        <v>525810.8378000001</v>
      </c>
      <c r="K133" s="87">
        <f t="shared" si="92"/>
        <v>544344.53878100007</v>
      </c>
      <c r="L133" s="87">
        <f t="shared" si="92"/>
        <v>570749.33837791998</v>
      </c>
      <c r="M133" s="87">
        <f t="shared" si="92"/>
        <v>597902.45361584437</v>
      </c>
      <c r="N133" s="87">
        <f t="shared" si="92"/>
        <v>625826.89270427416</v>
      </c>
      <c r="O133" s="87">
        <f t="shared" si="92"/>
        <v>654546.43339474231</v>
      </c>
      <c r="P133" s="87">
        <f t="shared" si="92"/>
        <v>684085.64954975864</v>
      </c>
      <c r="Q133" s="3"/>
      <c r="R133" s="3"/>
      <c r="S133" s="3"/>
    </row>
    <row r="134" spans="2:21">
      <c r="B134" s="3"/>
      <c r="C134" s="3" t="s">
        <v>2616</v>
      </c>
      <c r="D134" s="8">
        <f t="shared" ref="D134:I134" si="93">D133/D120</f>
        <v>0.33688694519453577</v>
      </c>
      <c r="E134" s="8">
        <f t="shared" si="93"/>
        <v>0.37507348939676405</v>
      </c>
      <c r="F134" s="8">
        <f t="shared" si="93"/>
        <v>0.3780350710880826</v>
      </c>
      <c r="G134" s="8">
        <f t="shared" si="93"/>
        <v>0.3814823699598352</v>
      </c>
      <c r="H134" s="8">
        <f t="shared" si="93"/>
        <v>0.34003782575767133</v>
      </c>
      <c r="I134" s="8">
        <f t="shared" si="93"/>
        <v>0.31403623108998946</v>
      </c>
      <c r="J134" s="398">
        <v>0.30499999999999999</v>
      </c>
      <c r="K134" s="398">
        <v>0.31</v>
      </c>
      <c r="L134" s="398">
        <v>0.32</v>
      </c>
      <c r="M134" s="398">
        <v>0.33</v>
      </c>
      <c r="N134" s="398">
        <v>0.34</v>
      </c>
      <c r="O134" s="398">
        <v>0.35</v>
      </c>
      <c r="P134" s="398">
        <v>0.36</v>
      </c>
      <c r="Q134" s="3"/>
      <c r="R134" s="8"/>
      <c r="S134" s="3"/>
    </row>
    <row r="135" spans="2:21">
      <c r="B135" s="3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3"/>
      <c r="R135" s="3"/>
      <c r="S135" s="3"/>
    </row>
    <row r="136" spans="2:21">
      <c r="B136" s="3"/>
      <c r="C136" s="87" t="s">
        <v>2602</v>
      </c>
      <c r="D136" s="87"/>
      <c r="E136" s="266">
        <f>'New Ints'!G79+'New Ints'!H79+'New Ints'!I79+'New Ints'!J79</f>
        <v>36700</v>
      </c>
      <c r="F136" s="266">
        <f>'New Ints'!K79+'New Ints'!L79+'New Ints'!M79+'New Ints'!N79</f>
        <v>48802.130354688197</v>
      </c>
      <c r="G136" s="457">
        <f>'New Ints'!O79+'New Ints'!P79+'New Ints'!Q79+'New Ints'!R79</f>
        <v>51686.296434219032</v>
      </c>
      <c r="H136" s="457">
        <f>'New Ints'!S79+'New Ints'!T79+'New Ints'!U79+'New Ints'!V79</f>
        <v>59302.670979789887</v>
      </c>
      <c r="I136" s="457">
        <f>SUM('New Ints'!W79:Z79)</f>
        <v>63397.322285013601</v>
      </c>
      <c r="J136" s="457">
        <f>I136*1.05</f>
        <v>66567.188399264283</v>
      </c>
      <c r="K136" s="457">
        <f t="shared" ref="K136:P136" si="94">J136*1.05</f>
        <v>69895.547819227504</v>
      </c>
      <c r="L136" s="457">
        <f t="shared" si="94"/>
        <v>73390.325210188879</v>
      </c>
      <c r="M136" s="457">
        <f t="shared" si="94"/>
        <v>77059.841470698331</v>
      </c>
      <c r="N136" s="457">
        <f t="shared" si="94"/>
        <v>80912.833544233246</v>
      </c>
      <c r="O136" s="457">
        <f t="shared" si="94"/>
        <v>84958.475221444911</v>
      </c>
      <c r="P136" s="457">
        <f t="shared" si="94"/>
        <v>89206.398982517159</v>
      </c>
      <c r="Q136" s="3"/>
      <c r="R136" s="3"/>
      <c r="S136" s="3"/>
    </row>
    <row r="137" spans="2:21">
      <c r="B137" s="3"/>
      <c r="C137" s="87" t="s">
        <v>2607</v>
      </c>
      <c r="D137" s="87"/>
      <c r="E137" s="87">
        <f t="shared" ref="E137:P137" si="95">E133-E136</f>
        <v>478143.5</v>
      </c>
      <c r="F137" s="87">
        <f t="shared" si="95"/>
        <v>498323.86964531179</v>
      </c>
      <c r="G137" s="87">
        <f t="shared" si="95"/>
        <v>579640.703565781</v>
      </c>
      <c r="H137" s="87">
        <f t="shared" si="95"/>
        <v>506861.32902021013</v>
      </c>
      <c r="I137" s="87">
        <f>I133-I136</f>
        <v>481100.67771498638</v>
      </c>
      <c r="J137" s="87">
        <f t="shared" si="95"/>
        <v>459243.6494007358</v>
      </c>
      <c r="K137" s="87">
        <f t="shared" si="95"/>
        <v>474448.99096177256</v>
      </c>
      <c r="L137" s="87">
        <f t="shared" si="95"/>
        <v>497359.01316773111</v>
      </c>
      <c r="M137" s="87">
        <f t="shared" si="95"/>
        <v>520842.61214514601</v>
      </c>
      <c r="N137" s="87">
        <f t="shared" si="95"/>
        <v>544914.05916004092</v>
      </c>
      <c r="O137" s="87">
        <f t="shared" si="95"/>
        <v>569587.95817329735</v>
      </c>
      <c r="P137" s="87">
        <f t="shared" si="95"/>
        <v>594879.25056724146</v>
      </c>
      <c r="Q137" s="3"/>
      <c r="R137" s="3"/>
      <c r="S137" s="3"/>
    </row>
    <row r="138" spans="2:21">
      <c r="B138" s="3"/>
      <c r="C138" s="87" t="s">
        <v>5</v>
      </c>
      <c r="D138" s="87"/>
      <c r="E138" s="8">
        <f>E137/E120</f>
        <v>0.34833682658396514</v>
      </c>
      <c r="F138" s="8">
        <f t="shared" ref="F138:P138" si="96">F137/F120</f>
        <v>0.34431538527917493</v>
      </c>
      <c r="G138" s="8">
        <f t="shared" si="96"/>
        <v>0.35025067725831532</v>
      </c>
      <c r="H138" s="8">
        <f t="shared" si="96"/>
        <v>0.30442067012504492</v>
      </c>
      <c r="I138" s="8">
        <f t="shared" si="96"/>
        <v>0.27747217364334487</v>
      </c>
      <c r="J138" s="8">
        <f t="shared" si="96"/>
        <v>0.26638726895260734</v>
      </c>
      <c r="K138" s="8">
        <f t="shared" si="96"/>
        <v>0.2701950267150971</v>
      </c>
      <c r="L138" s="8">
        <f t="shared" si="96"/>
        <v>0.27885250759290414</v>
      </c>
      <c r="M138" s="8">
        <f t="shared" si="96"/>
        <v>0.28746840051994632</v>
      </c>
      <c r="N138" s="8">
        <f t="shared" si="96"/>
        <v>0.29604157679104576</v>
      </c>
      <c r="O138" s="8">
        <f t="shared" si="96"/>
        <v>0.30457088327059456</v>
      </c>
      <c r="P138" s="8">
        <f t="shared" si="96"/>
        <v>0.31305514206467755</v>
      </c>
      <c r="Q138" s="3"/>
      <c r="R138" s="3"/>
      <c r="S138" s="3"/>
    </row>
    <row r="139" spans="2:21">
      <c r="B139" s="3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3"/>
      <c r="R139" s="3"/>
      <c r="S139" s="3"/>
    </row>
    <row r="140" spans="2:21">
      <c r="C140" s="3" t="s">
        <v>137</v>
      </c>
      <c r="D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2:21">
      <c r="C141" s="3" t="s">
        <v>2533</v>
      </c>
      <c r="D141" s="3"/>
      <c r="E141" s="266">
        <f>SUM('New Ints'!G110:J110)</f>
        <v>280817</v>
      </c>
      <c r="F141" s="266">
        <f>'New Ints'!K110+'New Ints'!L110+'New Ints'!M110+'New Ints'!N110</f>
        <v>273533</v>
      </c>
      <c r="G141" s="266">
        <f>'New Ints'!O110+'New Ints'!P110+'New Ints'!Q110+'New Ints'!R110</f>
        <v>352945</v>
      </c>
      <c r="H141" s="266">
        <f>'New Ints'!S110+'New Ints'!T110+'New Ints'!U110+'New Ints'!V110</f>
        <v>392940</v>
      </c>
      <c r="I141" s="266">
        <f>SUM('New Ints'!W110:Z110)</f>
        <v>342171</v>
      </c>
      <c r="J141" s="87">
        <f t="shared" ref="J141:P141" si="97">J37</f>
        <v>390726</v>
      </c>
      <c r="K141" s="87">
        <f t="shared" si="97"/>
        <v>389051.45999999996</v>
      </c>
      <c r="L141" s="87">
        <f t="shared" si="97"/>
        <v>367795.9656</v>
      </c>
      <c r="M141" s="87">
        <f t="shared" si="97"/>
        <v>356394.29066639999</v>
      </c>
      <c r="N141" s="87">
        <f t="shared" si="97"/>
        <v>345346.06765574159</v>
      </c>
      <c r="O141" s="87">
        <f t="shared" si="97"/>
        <v>334640.33955841354</v>
      </c>
      <c r="P141" s="87">
        <f t="shared" si="97"/>
        <v>324266.48903210275</v>
      </c>
      <c r="Q141" s="3"/>
      <c r="R141" s="57"/>
    </row>
    <row r="142" spans="2:21">
      <c r="C142" s="3" t="s">
        <v>85</v>
      </c>
      <c r="D142" s="3"/>
      <c r="E142" s="5">
        <f>E141/E120</f>
        <v>0.20458063872211865</v>
      </c>
      <c r="F142" s="5">
        <f t="shared" ref="F142:P142" si="98">F141/F120</f>
        <v>0.18899680713388964</v>
      </c>
      <c r="G142" s="5">
        <f t="shared" si="98"/>
        <v>0.21326871029668307</v>
      </c>
      <c r="H142" s="5">
        <f t="shared" si="98"/>
        <v>0.23599957477554095</v>
      </c>
      <c r="I142" s="5">
        <f t="shared" si="98"/>
        <v>0.19734524502990419</v>
      </c>
      <c r="J142" s="5">
        <f t="shared" si="98"/>
        <v>0.22664316030193471</v>
      </c>
      <c r="K142" s="5">
        <f t="shared" si="98"/>
        <v>0.22156179406168713</v>
      </c>
      <c r="L142" s="5">
        <f t="shared" si="98"/>
        <v>0.20621085488507179</v>
      </c>
      <c r="M142" s="5">
        <f t="shared" si="98"/>
        <v>0.19670452129550409</v>
      </c>
      <c r="N142" s="5">
        <f t="shared" si="98"/>
        <v>0.18762003418481449</v>
      </c>
      <c r="O142" s="5">
        <f t="shared" si="98"/>
        <v>0.17893935841647127</v>
      </c>
      <c r="P142" s="5">
        <f t="shared" si="98"/>
        <v>0.17064520521427182</v>
      </c>
      <c r="Q142" s="3"/>
    </row>
    <row r="143" spans="2:2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spans="2:21">
      <c r="C144" s="3" t="s">
        <v>2617</v>
      </c>
      <c r="D144" s="3"/>
      <c r="E144" s="87">
        <f>E137-E141</f>
        <v>197326.5</v>
      </c>
      <c r="F144" s="87">
        <f t="shared" ref="F144:P144" si="99">F137-F141</f>
        <v>224790.86964531179</v>
      </c>
      <c r="G144" s="87">
        <f t="shared" si="99"/>
        <v>226695.703565781</v>
      </c>
      <c r="H144" s="87">
        <f t="shared" si="99"/>
        <v>113921.32902021013</v>
      </c>
      <c r="I144" s="87">
        <f t="shared" si="99"/>
        <v>138929.67771498638</v>
      </c>
      <c r="J144" s="87">
        <f t="shared" si="99"/>
        <v>68517.649400735798</v>
      </c>
      <c r="K144" s="87">
        <f t="shared" si="99"/>
        <v>85397.530961772602</v>
      </c>
      <c r="L144" s="87">
        <f t="shared" si="99"/>
        <v>129563.04756773112</v>
      </c>
      <c r="M144" s="87">
        <f t="shared" si="99"/>
        <v>164448.32147874602</v>
      </c>
      <c r="N144" s="87">
        <f t="shared" si="99"/>
        <v>199567.99150429934</v>
      </c>
      <c r="O144" s="87">
        <f t="shared" si="99"/>
        <v>234947.6186148838</v>
      </c>
      <c r="P144" s="87">
        <f t="shared" si="99"/>
        <v>270612.76153513871</v>
      </c>
      <c r="Q144" s="3"/>
    </row>
    <row r="145" spans="3:24">
      <c r="C145" s="3" t="s">
        <v>5</v>
      </c>
      <c r="D145" s="3"/>
      <c r="E145" s="8">
        <f>E144/E120</f>
        <v>0.14375618786184649</v>
      </c>
      <c r="F145" s="8">
        <f t="shared" ref="F145:P145" si="100">F144/F120</f>
        <v>0.15531857814528527</v>
      </c>
      <c r="G145" s="8">
        <f t="shared" si="100"/>
        <v>0.13698196696163223</v>
      </c>
      <c r="H145" s="8">
        <f t="shared" si="100"/>
        <v>6.8421095349503955E-2</v>
      </c>
      <c r="I145" s="8">
        <f t="shared" si="100"/>
        <v>8.0126928613440673E-2</v>
      </c>
      <c r="J145" s="8">
        <f t="shared" si="100"/>
        <v>3.9744108650672655E-2</v>
      </c>
      <c r="K145" s="8">
        <f t="shared" si="100"/>
        <v>4.8633232653409943E-2</v>
      </c>
      <c r="L145" s="8">
        <f t="shared" si="100"/>
        <v>7.2641652707832349E-2</v>
      </c>
      <c r="M145" s="8">
        <f t="shared" si="100"/>
        <v>9.0763879224442262E-2</v>
      </c>
      <c r="N145" s="8">
        <f t="shared" si="100"/>
        <v>0.10842154260623126</v>
      </c>
      <c r="O145" s="8">
        <f t="shared" si="100"/>
        <v>0.12563152485412329</v>
      </c>
      <c r="P145" s="8">
        <f t="shared" si="100"/>
        <v>0.14240993685040576</v>
      </c>
      <c r="Q145" s="3"/>
    </row>
    <row r="146" spans="3:24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3:24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spans="3:24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spans="3:24">
      <c r="C149" s="644" t="s">
        <v>2495</v>
      </c>
      <c r="D149" s="272">
        <f t="shared" ref="D149:P149" si="101">D113</f>
        <v>2018</v>
      </c>
      <c r="E149" s="272">
        <f t="shared" si="101"/>
        <v>2019</v>
      </c>
      <c r="F149" s="272">
        <f t="shared" si="101"/>
        <v>2020</v>
      </c>
      <c r="G149" s="272">
        <f t="shared" si="101"/>
        <v>2021</v>
      </c>
      <c r="H149" s="272">
        <f t="shared" si="101"/>
        <v>2022</v>
      </c>
      <c r="I149" s="272">
        <f t="shared" si="101"/>
        <v>2023</v>
      </c>
      <c r="J149" s="272">
        <f t="shared" si="101"/>
        <v>2024</v>
      </c>
      <c r="K149" s="272">
        <f t="shared" si="101"/>
        <v>2025</v>
      </c>
      <c r="L149" s="272">
        <f t="shared" si="101"/>
        <v>2026</v>
      </c>
      <c r="M149" s="272">
        <f t="shared" si="101"/>
        <v>2027</v>
      </c>
      <c r="N149" s="272">
        <f t="shared" si="101"/>
        <v>2028</v>
      </c>
      <c r="O149" s="272">
        <f t="shared" si="101"/>
        <v>2029</v>
      </c>
      <c r="P149" s="272">
        <f t="shared" si="101"/>
        <v>2030</v>
      </c>
      <c r="Q149" s="3"/>
    </row>
    <row r="150" spans="3:24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spans="3:24">
      <c r="C151" s="87" t="s">
        <v>3350</v>
      </c>
      <c r="D151" s="87"/>
      <c r="E151" s="87">
        <f ca="1">E153-E152</f>
        <v>356372.26182214287</v>
      </c>
      <c r="F151" s="87">
        <f ca="1">F153-F152</f>
        <v>385760.5411737879</v>
      </c>
      <c r="G151" s="87">
        <f ca="1">G153-G152</f>
        <v>471711.78374414914</v>
      </c>
      <c r="H151" s="266">
        <v>531541</v>
      </c>
      <c r="I151" s="266">
        <v>541000</v>
      </c>
      <c r="J151" s="87">
        <f>J185*J206</f>
        <v>599308.37353519106</v>
      </c>
      <c r="K151" s="87">
        <f t="shared" ref="K151:P151" si="102">K185*K206</f>
        <v>617664.98652976064</v>
      </c>
      <c r="L151" s="87">
        <f t="shared" si="102"/>
        <v>634277.27599850937</v>
      </c>
      <c r="M151" s="87">
        <f t="shared" si="102"/>
        <v>651499.93105302274</v>
      </c>
      <c r="N151" s="87">
        <f t="shared" si="102"/>
        <v>675691.46533940488</v>
      </c>
      <c r="O151" s="87">
        <f t="shared" si="102"/>
        <v>700590.06102482078</v>
      </c>
      <c r="P151" s="87">
        <f t="shared" si="102"/>
        <v>726214.32395151781</v>
      </c>
      <c r="Q151" s="3"/>
      <c r="R151" s="57"/>
    </row>
    <row r="152" spans="3:24">
      <c r="C152" s="379" t="s">
        <v>3351</v>
      </c>
      <c r="D152" s="379"/>
      <c r="E152" s="522">
        <f ca="1">F152/F151*E151</f>
        <v>222878.73817785809</v>
      </c>
      <c r="F152" s="522">
        <f ca="1">G152/G151*F151</f>
        <v>241258.45882621183</v>
      </c>
      <c r="G152" s="522">
        <f ca="1">H152/H151*G151</f>
        <v>295013.21625585092</v>
      </c>
      <c r="H152" s="452">
        <v>332431</v>
      </c>
      <c r="I152" s="452">
        <v>241785</v>
      </c>
      <c r="J152" s="379">
        <f>J154*J151</f>
        <v>239723.34941407642</v>
      </c>
      <c r="K152" s="379">
        <f t="shared" ref="K152:P152" si="103">K154*K151</f>
        <v>247065.99461190426</v>
      </c>
      <c r="L152" s="379">
        <f t="shared" si="103"/>
        <v>253710.91039940377</v>
      </c>
      <c r="M152" s="379">
        <f t="shared" si="103"/>
        <v>260599.9724212091</v>
      </c>
      <c r="N152" s="379">
        <f t="shared" si="103"/>
        <v>270276.58613576199</v>
      </c>
      <c r="O152" s="379">
        <f t="shared" si="103"/>
        <v>280236.0244099283</v>
      </c>
      <c r="P152" s="379">
        <f t="shared" si="103"/>
        <v>290485.72958060715</v>
      </c>
      <c r="Q152" s="3"/>
      <c r="R152" s="57"/>
    </row>
    <row r="153" spans="3:24">
      <c r="C153" s="87" t="s">
        <v>3352</v>
      </c>
      <c r="D153" s="87"/>
      <c r="E153" s="87">
        <f>E157-E156</f>
        <v>579251</v>
      </c>
      <c r="F153" s="87">
        <f>F157-F156</f>
        <v>627019</v>
      </c>
      <c r="G153" s="87">
        <f>G157-G156</f>
        <v>766725</v>
      </c>
      <c r="H153" s="87">
        <f>H151+H152</f>
        <v>863972</v>
      </c>
      <c r="I153" s="87">
        <f>I151+I152</f>
        <v>782785</v>
      </c>
      <c r="J153" s="87">
        <f>J151+J152</f>
        <v>839031.72294926748</v>
      </c>
      <c r="K153" s="87">
        <f t="shared" ref="K153:P153" si="104">K151+K152</f>
        <v>864730.9811416649</v>
      </c>
      <c r="L153" s="87">
        <f t="shared" si="104"/>
        <v>887988.18639791314</v>
      </c>
      <c r="M153" s="87">
        <f t="shared" si="104"/>
        <v>912099.90347423183</v>
      </c>
      <c r="N153" s="87">
        <f t="shared" si="104"/>
        <v>945968.05147516681</v>
      </c>
      <c r="O153" s="87">
        <f t="shared" si="104"/>
        <v>980826.08543474902</v>
      </c>
      <c r="P153" s="87">
        <f t="shared" si="104"/>
        <v>1016700.053532125</v>
      </c>
      <c r="Q153" s="3"/>
      <c r="R153" s="57"/>
    </row>
    <row r="154" spans="3:24">
      <c r="C154" s="87" t="s">
        <v>3354</v>
      </c>
      <c r="D154" s="87"/>
      <c r="E154" s="87"/>
      <c r="F154" s="87"/>
      <c r="G154" s="87"/>
      <c r="H154" s="5">
        <f>H152/H151</f>
        <v>0.6254098931220734</v>
      </c>
      <c r="I154" s="5">
        <f>I152/I151</f>
        <v>0.44692236598890944</v>
      </c>
      <c r="J154" s="440">
        <v>0.4</v>
      </c>
      <c r="K154" s="440">
        <v>0.4</v>
      </c>
      <c r="L154" s="440">
        <v>0.4</v>
      </c>
      <c r="M154" s="440">
        <v>0.4</v>
      </c>
      <c r="N154" s="440">
        <v>0.4</v>
      </c>
      <c r="O154" s="440">
        <v>0.4</v>
      </c>
      <c r="P154" s="440">
        <v>0.4</v>
      </c>
      <c r="Q154" s="3"/>
      <c r="R154" s="57"/>
    </row>
    <row r="155" spans="3:24"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3"/>
      <c r="R155" s="57"/>
    </row>
    <row r="156" spans="3:24">
      <c r="C156" s="379" t="s">
        <v>146</v>
      </c>
      <c r="D156" s="379"/>
      <c r="E156" s="452">
        <f>'New Ints'!G9+'New Ints'!H9+'New Ints'!I9+'New Ints'!J9</f>
        <v>22148</v>
      </c>
      <c r="F156" s="452">
        <f>'New Ints'!K9+'New Ints'!L9+'New Ints'!M9+'New Ints'!N9</f>
        <v>17905</v>
      </c>
      <c r="G156" s="452">
        <f>'New Ints'!O9+'New Ints'!P9+'New Ints'!Q9+'New Ints'!R9</f>
        <v>14966</v>
      </c>
      <c r="H156" s="379">
        <f>H157-H153</f>
        <v>35612</v>
      </c>
      <c r="I156" s="87">
        <f>I157-I153</f>
        <v>32993</v>
      </c>
      <c r="J156" s="522">
        <f>I156*1.015</f>
        <v>33487.894999999997</v>
      </c>
      <c r="K156" s="522">
        <f>J156*1.02</f>
        <v>34157.652900000001</v>
      </c>
      <c r="L156" s="522">
        <f t="shared" ref="L156:P156" si="105">K156*1.025</f>
        <v>35011.594222499996</v>
      </c>
      <c r="M156" s="522">
        <f t="shared" si="105"/>
        <v>35886.884078062496</v>
      </c>
      <c r="N156" s="522">
        <f t="shared" si="105"/>
        <v>36784.056180014057</v>
      </c>
      <c r="O156" s="522">
        <f t="shared" si="105"/>
        <v>37703.657584514403</v>
      </c>
      <c r="P156" s="522">
        <f t="shared" si="105"/>
        <v>38646.249024127261</v>
      </c>
      <c r="Q156" s="3"/>
      <c r="R156" s="57"/>
      <c r="T156" s="57"/>
      <c r="U156" s="57"/>
      <c r="V156" s="57"/>
      <c r="W156" s="57"/>
      <c r="X156" s="57"/>
    </row>
    <row r="157" spans="3:24">
      <c r="C157" s="87" t="s">
        <v>2490</v>
      </c>
      <c r="D157" s="266">
        <f>477854+20448</f>
        <v>498302</v>
      </c>
      <c r="E157" s="266">
        <f>'New Ints'!G10+'New Ints'!H10+'New Ints'!I10+'New Ints'!J10</f>
        <v>601399</v>
      </c>
      <c r="F157" s="266">
        <f>'New Ints'!K10+'New Ints'!L10+'New Ints'!M10+'New Ints'!N10</f>
        <v>644924</v>
      </c>
      <c r="G157" s="266">
        <f>'New Ints'!O10+'New Ints'!P10+'New Ints'!Q10+'New Ints'!R10</f>
        <v>781691</v>
      </c>
      <c r="H157" s="266">
        <f>'New Ints'!S10+'New Ints'!T10+'New Ints'!U10+'New Ints'!V10</f>
        <v>899584</v>
      </c>
      <c r="I157" s="643">
        <f>'New Ints'!W10+'New Ints'!X10+'New Ints'!Y10+'New Ints'!Z10</f>
        <v>815778</v>
      </c>
      <c r="J157" s="87">
        <f>J209*J175</f>
        <v>886976.3928320827</v>
      </c>
      <c r="K157" s="87">
        <f t="shared" ref="K157:P157" si="106">K209*K175</f>
        <v>914144.18006404571</v>
      </c>
      <c r="L157" s="87">
        <f t="shared" si="106"/>
        <v>938730.36847779388</v>
      </c>
      <c r="M157" s="87">
        <f t="shared" si="106"/>
        <v>964219.89795847354</v>
      </c>
      <c r="N157" s="87">
        <f t="shared" si="106"/>
        <v>1000023.3687023191</v>
      </c>
      <c r="O157" s="87">
        <f t="shared" si="106"/>
        <v>1036873.2903167349</v>
      </c>
      <c r="P157" s="87">
        <f t="shared" si="106"/>
        <v>1074797.1994482463</v>
      </c>
      <c r="Q157" s="3"/>
    </row>
    <row r="158" spans="3:24">
      <c r="C158" s="3" t="s">
        <v>63</v>
      </c>
      <c r="D158" s="3"/>
      <c r="E158" s="8">
        <f t="shared" ref="E158:P158" si="107">E157/D157-1</f>
        <v>0.2068966209246601</v>
      </c>
      <c r="F158" s="8">
        <f t="shared" si="107"/>
        <v>7.2372917148182836E-2</v>
      </c>
      <c r="G158" s="8">
        <f t="shared" si="107"/>
        <v>0.21206684818676313</v>
      </c>
      <c r="H158" s="8">
        <f t="shared" si="107"/>
        <v>0.1508179063082471</v>
      </c>
      <c r="I158" s="8">
        <f t="shared" si="107"/>
        <v>-9.3160838787706313E-2</v>
      </c>
      <c r="J158" s="8">
        <f t="shared" si="107"/>
        <v>8.727667678226525E-2</v>
      </c>
      <c r="K158" s="8">
        <f t="shared" si="107"/>
        <v>3.062966213251439E-2</v>
      </c>
      <c r="L158" s="8">
        <f t="shared" si="107"/>
        <v>2.6895307053232731E-2</v>
      </c>
      <c r="M158" s="8">
        <f t="shared" si="107"/>
        <v>2.7153195780820871E-2</v>
      </c>
      <c r="N158" s="8">
        <f t="shared" si="107"/>
        <v>3.7132059626286074E-2</v>
      </c>
      <c r="O158" s="8">
        <f t="shared" si="107"/>
        <v>3.6849060499690278E-2</v>
      </c>
      <c r="P158" s="8">
        <f t="shared" si="107"/>
        <v>3.6575258988421622E-2</v>
      </c>
      <c r="Q158" s="3"/>
    </row>
    <row r="159" spans="3:24"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3"/>
    </row>
    <row r="160" spans="3:24">
      <c r="C160" s="87" t="s">
        <v>2512</v>
      </c>
      <c r="D160" s="87">
        <f t="shared" ref="D160:P160" si="108">D162+D161</f>
        <v>-50741</v>
      </c>
      <c r="E160" s="87">
        <f t="shared" si="108"/>
        <v>126476</v>
      </c>
      <c r="F160" s="87">
        <f t="shared" si="108"/>
        <v>103609</v>
      </c>
      <c r="G160" s="87">
        <f t="shared" si="108"/>
        <v>134019</v>
      </c>
      <c r="H160" s="87">
        <f t="shared" si="108"/>
        <v>233926</v>
      </c>
      <c r="I160" s="87">
        <f t="shared" si="108"/>
        <v>165432</v>
      </c>
      <c r="J160" s="87">
        <f t="shared" si="108"/>
        <v>221744.09820802067</v>
      </c>
      <c r="K160" s="87">
        <f t="shared" si="108"/>
        <v>237677.48681665189</v>
      </c>
      <c r="L160" s="87">
        <f t="shared" si="108"/>
        <v>253457.19948900436</v>
      </c>
      <c r="M160" s="87">
        <f t="shared" si="108"/>
        <v>269981.57142837264</v>
      </c>
      <c r="N160" s="87">
        <f t="shared" si="108"/>
        <v>285006.660080161</v>
      </c>
      <c r="O160" s="87">
        <f t="shared" si="108"/>
        <v>300693.25419185316</v>
      </c>
      <c r="P160" s="87">
        <f t="shared" si="108"/>
        <v>317065.17383723269</v>
      </c>
      <c r="Q160" s="3"/>
      <c r="R160" s="57"/>
    </row>
    <row r="161" spans="3:17">
      <c r="C161" s="87" t="s">
        <v>2514</v>
      </c>
      <c r="D161" s="87"/>
      <c r="E161" s="266">
        <f>'New Ints'!J52</f>
        <v>80407.5</v>
      </c>
      <c r="F161" s="87">
        <f t="shared" ref="F161:P161" si="109">F18</f>
        <v>11788</v>
      </c>
      <c r="G161" s="87">
        <f t="shared" si="109"/>
        <v>2000</v>
      </c>
      <c r="H161" s="87">
        <f t="shared" si="109"/>
        <v>54307</v>
      </c>
      <c r="I161" s="87">
        <f t="shared" si="109"/>
        <v>-36628</v>
      </c>
      <c r="J161" s="87">
        <f t="shared" si="109"/>
        <v>0</v>
      </c>
      <c r="K161" s="87">
        <f t="shared" si="109"/>
        <v>0</v>
      </c>
      <c r="L161" s="87">
        <f t="shared" si="109"/>
        <v>0</v>
      </c>
      <c r="M161" s="87">
        <f t="shared" si="109"/>
        <v>0</v>
      </c>
      <c r="N161" s="87">
        <f t="shared" si="109"/>
        <v>0</v>
      </c>
      <c r="O161" s="87">
        <f t="shared" si="109"/>
        <v>0</v>
      </c>
      <c r="P161" s="87">
        <f t="shared" si="109"/>
        <v>0</v>
      </c>
      <c r="Q161" s="3"/>
    </row>
    <row r="162" spans="3:17">
      <c r="C162" s="87" t="s">
        <v>2513</v>
      </c>
      <c r="D162" s="266">
        <v>-50741</v>
      </c>
      <c r="E162" s="266">
        <f>126476-'New Ints'!J52</f>
        <v>46068.5</v>
      </c>
      <c r="F162" s="266">
        <f>'New Ints'!K62+'New Ints'!L62+'New Ints'!M62+'New Ints'!N62</f>
        <v>91821</v>
      </c>
      <c r="G162" s="266">
        <f>'New Ints'!O62+'New Ints'!P62+'New Ints'!Q62+'New Ints'!R62</f>
        <v>132019</v>
      </c>
      <c r="H162" s="266">
        <f>'New Ints'!S62+'New Ints'!T62+'New Ints'!U62+'New Ints'!V62</f>
        <v>179619</v>
      </c>
      <c r="I162" s="266">
        <f>SUM('New Ints'!W62:Z62)</f>
        <v>202060</v>
      </c>
      <c r="J162" s="87">
        <f t="shared" ref="J162:P162" si="110">J163*J157</f>
        <v>221744.09820802067</v>
      </c>
      <c r="K162" s="87">
        <f t="shared" si="110"/>
        <v>237677.48681665189</v>
      </c>
      <c r="L162" s="87">
        <f t="shared" si="110"/>
        <v>253457.19948900436</v>
      </c>
      <c r="M162" s="87">
        <f t="shared" si="110"/>
        <v>269981.57142837264</v>
      </c>
      <c r="N162" s="87">
        <f t="shared" si="110"/>
        <v>285006.660080161</v>
      </c>
      <c r="O162" s="87">
        <f t="shared" si="110"/>
        <v>300693.25419185316</v>
      </c>
      <c r="P162" s="87">
        <f t="shared" si="110"/>
        <v>317065.17383723269</v>
      </c>
      <c r="Q162" s="3"/>
    </row>
    <row r="163" spans="3:17">
      <c r="C163" s="3" t="s">
        <v>5</v>
      </c>
      <c r="D163" s="5">
        <f t="shared" ref="D163:I163" si="111">D162/D157</f>
        <v>-0.1018278072333645</v>
      </c>
      <c r="E163" s="5">
        <f t="shared" si="111"/>
        <v>7.6602222484573476E-2</v>
      </c>
      <c r="F163" s="5">
        <f t="shared" si="111"/>
        <v>0.14237491549391867</v>
      </c>
      <c r="G163" s="5">
        <f t="shared" si="111"/>
        <v>0.16888898554543932</v>
      </c>
      <c r="H163" s="5">
        <f t="shared" si="111"/>
        <v>0.19966895809618668</v>
      </c>
      <c r="I163" s="5">
        <f t="shared" si="111"/>
        <v>0.24768993525199257</v>
      </c>
      <c r="J163" s="97">
        <v>0.25</v>
      </c>
      <c r="K163" s="97">
        <v>0.26</v>
      </c>
      <c r="L163" s="97">
        <v>0.27</v>
      </c>
      <c r="M163" s="97">
        <v>0.28000000000000003</v>
      </c>
      <c r="N163" s="97">
        <f t="shared" ref="N163:P163" si="112">M163+0.5%</f>
        <v>0.28500000000000003</v>
      </c>
      <c r="O163" s="97">
        <f t="shared" si="112"/>
        <v>0.29000000000000004</v>
      </c>
      <c r="P163" s="97">
        <f t="shared" si="112"/>
        <v>0.29500000000000004</v>
      </c>
      <c r="Q163" s="3"/>
    </row>
    <row r="164" spans="3:17">
      <c r="C164" s="3"/>
      <c r="D164" s="5"/>
      <c r="E164" s="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spans="3:17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spans="3:17">
      <c r="C166" s="3" t="s">
        <v>2518</v>
      </c>
      <c r="D166" s="3"/>
      <c r="E166" s="457">
        <f>'New Ints'!G81+'New Ints'!H81+'New Ints'!I81+'New Ints'!J81</f>
        <v>46458</v>
      </c>
      <c r="F166" s="457">
        <f>'New Ints'!K81+'New Ints'!L81+'New Ints'!M81+'New Ints'!N81</f>
        <v>61770.869645311803</v>
      </c>
      <c r="G166" s="457">
        <f>'New Ints'!O81+'New Ints'!P81+'New Ints'!Q81+'New Ints'!R81</f>
        <v>65313.703565780968</v>
      </c>
      <c r="H166" s="457">
        <f>'New Ints'!S81+'New Ints'!T81+'New Ints'!U81+'New Ints'!V81</f>
        <v>75561.329020210105</v>
      </c>
      <c r="I166" s="457">
        <f>SUM('New Ints'!W81:Z81)</f>
        <v>80210.677714986392</v>
      </c>
      <c r="J166" s="457">
        <f>I166*1.05</f>
        <v>84221.211600735711</v>
      </c>
      <c r="K166" s="457">
        <f t="shared" ref="K166:P166" si="113">J166*1.05</f>
        <v>88432.272180772503</v>
      </c>
      <c r="L166" s="457">
        <f t="shared" si="113"/>
        <v>92853.885789811131</v>
      </c>
      <c r="M166" s="457">
        <f t="shared" si="113"/>
        <v>97496.580079301697</v>
      </c>
      <c r="N166" s="457">
        <f t="shared" si="113"/>
        <v>102371.40908326679</v>
      </c>
      <c r="O166" s="457">
        <f t="shared" si="113"/>
        <v>107489.97953743013</v>
      </c>
      <c r="P166" s="457">
        <f t="shared" si="113"/>
        <v>112864.47851430165</v>
      </c>
      <c r="Q166" s="3"/>
    </row>
    <row r="167" spans="3:17">
      <c r="C167" s="3" t="s">
        <v>2517</v>
      </c>
      <c r="D167" s="3"/>
      <c r="E167" s="87">
        <f t="shared" ref="E167:P167" si="114">E162-E166</f>
        <v>-389.5</v>
      </c>
      <c r="F167" s="87">
        <f t="shared" si="114"/>
        <v>30050.130354688197</v>
      </c>
      <c r="G167" s="87">
        <f t="shared" si="114"/>
        <v>66705.296434219024</v>
      </c>
      <c r="H167" s="87">
        <f t="shared" si="114"/>
        <v>104057.67097978989</v>
      </c>
      <c r="I167" s="87">
        <f t="shared" si="114"/>
        <v>121849.32228501361</v>
      </c>
      <c r="J167" s="87">
        <f t="shared" si="114"/>
        <v>137522.88660728495</v>
      </c>
      <c r="K167" s="87">
        <f t="shared" si="114"/>
        <v>149245.21463587938</v>
      </c>
      <c r="L167" s="87">
        <f t="shared" si="114"/>
        <v>160603.31369919324</v>
      </c>
      <c r="M167" s="87">
        <f t="shared" si="114"/>
        <v>172484.99134907094</v>
      </c>
      <c r="N167" s="87">
        <f t="shared" si="114"/>
        <v>182635.2509968942</v>
      </c>
      <c r="O167" s="87">
        <f t="shared" si="114"/>
        <v>193203.27465442303</v>
      </c>
      <c r="P167" s="87">
        <f t="shared" si="114"/>
        <v>204200.69532293105</v>
      </c>
      <c r="Q167" s="3"/>
    </row>
    <row r="168" spans="3:17">
      <c r="C168" s="304" t="s">
        <v>5</v>
      </c>
      <c r="D168" s="304"/>
      <c r="E168" s="5">
        <f t="shared" ref="E168:P168" si="115">E167/E157</f>
        <v>-6.4765654748345108E-4</v>
      </c>
      <c r="F168" s="5">
        <f t="shared" si="115"/>
        <v>4.6594839631783277E-2</v>
      </c>
      <c r="G168" s="5">
        <f t="shared" si="115"/>
        <v>8.5334609755285687E-2</v>
      </c>
      <c r="H168" s="5">
        <f t="shared" si="115"/>
        <v>0.11567310109983048</v>
      </c>
      <c r="I168" s="5">
        <f t="shared" si="115"/>
        <v>0.14936578613913787</v>
      </c>
      <c r="J168" s="5">
        <f t="shared" si="115"/>
        <v>0.15504683971146005</v>
      </c>
      <c r="K168" s="5">
        <f t="shared" si="115"/>
        <v>0.16326222699949053</v>
      </c>
      <c r="L168" s="5">
        <f t="shared" si="115"/>
        <v>0.17108566963655483</v>
      </c>
      <c r="M168" s="5">
        <f t="shared" si="115"/>
        <v>0.17888553400969062</v>
      </c>
      <c r="N168" s="5">
        <f t="shared" si="115"/>
        <v>0.18263098314781478</v>
      </c>
      <c r="O168" s="5">
        <f t="shared" si="115"/>
        <v>0.18633257936020803</v>
      </c>
      <c r="P168" s="5">
        <f t="shared" si="115"/>
        <v>0.18998997711173674</v>
      </c>
      <c r="Q168" s="3"/>
    </row>
    <row r="169" spans="3:17">
      <c r="C169" s="304" t="s">
        <v>2532</v>
      </c>
      <c r="D169" s="304"/>
      <c r="E169" s="304"/>
      <c r="F169" s="304"/>
      <c r="G169" s="304"/>
      <c r="H169" s="304"/>
      <c r="I169" s="304"/>
      <c r="J169" s="338"/>
      <c r="K169" s="3"/>
      <c r="L169" s="3"/>
      <c r="M169" s="3"/>
      <c r="N169" s="3"/>
      <c r="O169" s="3"/>
      <c r="P169" s="3"/>
      <c r="Q169" s="3"/>
    </row>
    <row r="170" spans="3:17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3:17">
      <c r="C171" s="3" t="s">
        <v>2610</v>
      </c>
      <c r="D171" s="3"/>
      <c r="E171" s="87">
        <f t="shared" ref="E171:P171" si="116">E38</f>
        <v>124582.73800000001</v>
      </c>
      <c r="F171" s="87">
        <f t="shared" si="116"/>
        <v>96495</v>
      </c>
      <c r="G171" s="87">
        <f t="shared" si="116"/>
        <v>92522</v>
      </c>
      <c r="H171" s="87">
        <f t="shared" si="116"/>
        <v>122326</v>
      </c>
      <c r="I171" s="87">
        <f t="shared" si="116"/>
        <v>134071</v>
      </c>
      <c r="J171" s="87">
        <f t="shared" si="116"/>
        <v>144196.5</v>
      </c>
      <c r="K171" s="87">
        <f t="shared" si="116"/>
        <v>132846.84</v>
      </c>
      <c r="L171" s="87">
        <f t="shared" si="116"/>
        <v>116146.09439999999</v>
      </c>
      <c r="M171" s="87">
        <f t="shared" si="116"/>
        <v>113532.80727599999</v>
      </c>
      <c r="N171" s="87">
        <f t="shared" si="116"/>
        <v>115803.46342152001</v>
      </c>
      <c r="O171" s="87">
        <f t="shared" si="116"/>
        <v>118119.5326899504</v>
      </c>
      <c r="P171" s="87">
        <f t="shared" si="116"/>
        <v>120481.9233437494</v>
      </c>
      <c r="Q171" s="3"/>
    </row>
    <row r="172" spans="3:17">
      <c r="C172" s="3" t="s">
        <v>177</v>
      </c>
      <c r="D172" s="3"/>
      <c r="E172" s="87">
        <f>E162-E171</f>
        <v>-78514.238000000012</v>
      </c>
      <c r="F172" s="87">
        <f t="shared" ref="F172:P172" si="117">F162-F171</f>
        <v>-4674</v>
      </c>
      <c r="G172" s="87">
        <f t="shared" ref="G172" si="118">G162-G171</f>
        <v>39497</v>
      </c>
      <c r="H172" s="87">
        <f t="shared" si="117"/>
        <v>57293</v>
      </c>
      <c r="I172" s="87">
        <f t="shared" si="117"/>
        <v>67989</v>
      </c>
      <c r="J172" s="87">
        <f t="shared" si="117"/>
        <v>77547.598208020674</v>
      </c>
      <c r="K172" s="87">
        <f t="shared" si="117"/>
        <v>104830.64681665189</v>
      </c>
      <c r="L172" s="87">
        <f t="shared" si="117"/>
        <v>137311.10508900438</v>
      </c>
      <c r="M172" s="87">
        <f t="shared" si="117"/>
        <v>156448.76415237266</v>
      </c>
      <c r="N172" s="87">
        <f t="shared" si="117"/>
        <v>169203.19665864098</v>
      </c>
      <c r="O172" s="87">
        <f t="shared" si="117"/>
        <v>182573.72150190276</v>
      </c>
      <c r="P172" s="87">
        <f t="shared" si="117"/>
        <v>196583.2504934833</v>
      </c>
      <c r="Q172" s="3"/>
    </row>
    <row r="173" spans="3:17">
      <c r="C173" s="3" t="s">
        <v>2611</v>
      </c>
      <c r="D173" s="3"/>
      <c r="E173" s="87">
        <f>E167-E171</f>
        <v>-124972.23800000001</v>
      </c>
      <c r="F173" s="87">
        <f t="shared" ref="F173:P173" si="119">F167-F171</f>
        <v>-66444.869645311803</v>
      </c>
      <c r="G173" s="87">
        <f t="shared" ref="G173" si="120">G167-G171</f>
        <v>-25816.703565780976</v>
      </c>
      <c r="H173" s="87">
        <f t="shared" si="119"/>
        <v>-18268.329020210105</v>
      </c>
      <c r="I173" s="87">
        <f t="shared" si="119"/>
        <v>-12221.677714986392</v>
      </c>
      <c r="J173" s="87">
        <f t="shared" si="119"/>
        <v>-6673.6133927150513</v>
      </c>
      <c r="K173" s="87">
        <f t="shared" si="119"/>
        <v>16398.374635879387</v>
      </c>
      <c r="L173" s="87">
        <f t="shared" si="119"/>
        <v>44457.219299193253</v>
      </c>
      <c r="M173" s="87">
        <f t="shared" si="119"/>
        <v>58952.184073070952</v>
      </c>
      <c r="N173" s="87">
        <f t="shared" si="119"/>
        <v>66831.787575374197</v>
      </c>
      <c r="O173" s="87">
        <f t="shared" si="119"/>
        <v>75083.741964472632</v>
      </c>
      <c r="P173" s="87">
        <f t="shared" si="119"/>
        <v>83718.771979181649</v>
      </c>
      <c r="Q173" s="3"/>
    </row>
    <row r="174" spans="3:17">
      <c r="C174" s="3"/>
      <c r="D174" s="3"/>
      <c r="E174" s="3"/>
      <c r="F174" s="3"/>
      <c r="G174" s="3"/>
      <c r="H174" s="3"/>
      <c r="I174" s="87"/>
      <c r="J174" s="87"/>
      <c r="K174" s="3"/>
      <c r="L174" s="3"/>
      <c r="M174" s="3"/>
      <c r="N174" s="3"/>
      <c r="O174" s="3"/>
      <c r="P174" s="3"/>
      <c r="Q174" s="3"/>
    </row>
    <row r="175" spans="3:17">
      <c r="C175" s="3" t="s">
        <v>2497</v>
      </c>
      <c r="D175" s="266">
        <v>642</v>
      </c>
      <c r="E175" s="266">
        <v>703</v>
      </c>
      <c r="F175" s="266">
        <v>792</v>
      </c>
      <c r="G175" s="266">
        <v>761</v>
      </c>
      <c r="H175" s="266">
        <v>873</v>
      </c>
      <c r="I175" s="266">
        <v>840</v>
      </c>
      <c r="J175" s="87">
        <f t="shared" ref="J175:P175" si="121">(1+J176)*I175</f>
        <v>930.3</v>
      </c>
      <c r="K175" s="87">
        <f t="shared" si="121"/>
        <v>948.90599999999995</v>
      </c>
      <c r="L175" s="87">
        <f t="shared" si="121"/>
        <v>967.88411999999994</v>
      </c>
      <c r="M175" s="87">
        <f t="shared" si="121"/>
        <v>987.24180239999998</v>
      </c>
      <c r="N175" s="87">
        <f t="shared" si="121"/>
        <v>1006.986638448</v>
      </c>
      <c r="O175" s="87">
        <f t="shared" si="121"/>
        <v>1027.12637121696</v>
      </c>
      <c r="P175" s="87">
        <f t="shared" si="121"/>
        <v>1047.6688986412992</v>
      </c>
      <c r="Q175" s="3"/>
    </row>
    <row r="176" spans="3:17">
      <c r="C176" s="3" t="s">
        <v>63</v>
      </c>
      <c r="D176" s="3"/>
      <c r="E176" s="8">
        <f t="shared" ref="E176:I176" si="122">E175/D175-1</f>
        <v>9.5015576323987494E-2</v>
      </c>
      <c r="F176" s="8">
        <f t="shared" si="122"/>
        <v>0.12660028449502136</v>
      </c>
      <c r="G176" s="8">
        <f t="shared" si="122"/>
        <v>-3.9141414141414144E-2</v>
      </c>
      <c r="H176" s="8">
        <f t="shared" si="122"/>
        <v>0.14717477003942192</v>
      </c>
      <c r="I176" s="8">
        <f t="shared" si="122"/>
        <v>-3.7800687285223344E-2</v>
      </c>
      <c r="J176" s="97">
        <v>0.1075</v>
      </c>
      <c r="K176" s="97">
        <v>0.02</v>
      </c>
      <c r="L176" s="97">
        <v>0.02</v>
      </c>
      <c r="M176" s="97">
        <v>0.02</v>
      </c>
      <c r="N176" s="97">
        <v>0.02</v>
      </c>
      <c r="O176" s="97">
        <v>0.02</v>
      </c>
      <c r="P176" s="97">
        <v>0.02</v>
      </c>
      <c r="Q176" s="3"/>
    </row>
    <row r="177" spans="3:17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3:17">
      <c r="C178" s="272" t="s">
        <v>3353</v>
      </c>
      <c r="D178" s="272">
        <f t="shared" ref="D178:P178" si="123">D149</f>
        <v>2018</v>
      </c>
      <c r="E178" s="272">
        <f t="shared" si="123"/>
        <v>2019</v>
      </c>
      <c r="F178" s="272">
        <f t="shared" si="123"/>
        <v>2020</v>
      </c>
      <c r="G178" s="272">
        <f t="shared" si="123"/>
        <v>2021</v>
      </c>
      <c r="H178" s="272">
        <f t="shared" si="123"/>
        <v>2022</v>
      </c>
      <c r="I178" s="272">
        <f t="shared" si="123"/>
        <v>2023</v>
      </c>
      <c r="J178" s="272">
        <f t="shared" si="123"/>
        <v>2024</v>
      </c>
      <c r="K178" s="272">
        <f t="shared" si="123"/>
        <v>2025</v>
      </c>
      <c r="L178" s="272">
        <f t="shared" si="123"/>
        <v>2026</v>
      </c>
      <c r="M178" s="272">
        <f t="shared" si="123"/>
        <v>2027</v>
      </c>
      <c r="N178" s="272">
        <f t="shared" si="123"/>
        <v>2028</v>
      </c>
      <c r="O178" s="272">
        <f t="shared" si="123"/>
        <v>2029</v>
      </c>
      <c r="P178" s="272">
        <f t="shared" si="123"/>
        <v>2030</v>
      </c>
      <c r="Q178" s="3"/>
    </row>
    <row r="179" spans="3:17">
      <c r="C179" s="3" t="s">
        <v>2490</v>
      </c>
      <c r="D179" s="87">
        <f t="shared" ref="D179:G179" si="124">D157/D206</f>
        <v>2553.603707165109</v>
      </c>
      <c r="E179" s="87">
        <f t="shared" si="124"/>
        <v>2857.2868563300144</v>
      </c>
      <c r="F179" s="87">
        <f t="shared" si="124"/>
        <v>2850.0429292929293</v>
      </c>
      <c r="G179" s="87">
        <f t="shared" si="124"/>
        <v>3987.156110578258</v>
      </c>
      <c r="H179" s="87">
        <f>H153/H206</f>
        <v>3790.3926231386026</v>
      </c>
      <c r="I179" s="87">
        <f>I153/I206</f>
        <v>3485.2570238095241</v>
      </c>
      <c r="J179" s="87">
        <f>J182+J185</f>
        <v>3632.5701996025318</v>
      </c>
      <c r="K179" s="87">
        <f t="shared" ref="K179:P179" si="125">K182+K185</f>
        <v>3707.1303367293017</v>
      </c>
      <c r="L179" s="87">
        <f t="shared" si="125"/>
        <v>3769.512836153147</v>
      </c>
      <c r="M179" s="87">
        <f t="shared" si="125"/>
        <v>3833.9076742680841</v>
      </c>
      <c r="N179" s="87">
        <f t="shared" si="125"/>
        <v>3937.2855375068525</v>
      </c>
      <c r="O179" s="87">
        <f t="shared" si="125"/>
        <v>4042.3475672429686</v>
      </c>
      <c r="P179" s="87">
        <f t="shared" si="125"/>
        <v>4149.117109020056</v>
      </c>
      <c r="Q179" s="3"/>
    </row>
    <row r="180" spans="3:17">
      <c r="C180" s="3" t="s">
        <v>612</v>
      </c>
      <c r="D180" s="87"/>
      <c r="E180" s="5">
        <f t="shared" ref="E180:P180" si="126">E179/D179-1</f>
        <v>0.11892336634412248</v>
      </c>
      <c r="F180" s="5">
        <f t="shared" si="126"/>
        <v>-2.5352466872680113E-3</v>
      </c>
      <c r="G180" s="5">
        <f t="shared" si="126"/>
        <v>0.39898107133685756</v>
      </c>
      <c r="H180" s="5">
        <f t="shared" si="126"/>
        <v>-4.9349331198150326E-2</v>
      </c>
      <c r="I180" s="5">
        <f t="shared" si="126"/>
        <v>-8.050237262133908E-2</v>
      </c>
      <c r="J180" s="5">
        <f t="shared" si="126"/>
        <v>4.2267521386984752E-2</v>
      </c>
      <c r="K180" s="5">
        <f t="shared" si="126"/>
        <v>2.0525449758666214E-2</v>
      </c>
      <c r="L180" s="5">
        <f t="shared" si="126"/>
        <v>1.6827706003691212E-2</v>
      </c>
      <c r="M180" s="5">
        <f t="shared" si="126"/>
        <v>1.7083066410420678E-2</v>
      </c>
      <c r="N180" s="5">
        <f t="shared" si="126"/>
        <v>2.6964098257401092E-2</v>
      </c>
      <c r="O180" s="5">
        <f t="shared" si="126"/>
        <v>2.6683873632046273E-2</v>
      </c>
      <c r="P180" s="5">
        <f t="shared" si="126"/>
        <v>2.6412756449319508E-2</v>
      </c>
      <c r="Q180" s="3"/>
    </row>
    <row r="181" spans="3:17">
      <c r="C181" s="3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3"/>
    </row>
    <row r="182" spans="3:17">
      <c r="C182" s="3" t="s">
        <v>83</v>
      </c>
      <c r="D182" s="87">
        <f t="shared" ref="D182:I182" si="127">D179-D185</f>
        <v>838.42785866510894</v>
      </c>
      <c r="E182" s="87">
        <f t="shared" si="127"/>
        <v>978.80465143001447</v>
      </c>
      <c r="F182" s="87">
        <f t="shared" si="127"/>
        <v>774.49390499292895</v>
      </c>
      <c r="G182" s="87">
        <f t="shared" si="127"/>
        <v>1680.1955971782581</v>
      </c>
      <c r="H182" s="87">
        <f t="shared" si="127"/>
        <v>1458.431534936999</v>
      </c>
      <c r="I182" s="87">
        <f t="shared" si="127"/>
        <v>1076.5189285714287</v>
      </c>
      <c r="J182" s="87">
        <f t="shared" ref="J182:P182" si="128">J183*J185</f>
        <v>1178.1308755467669</v>
      </c>
      <c r="K182" s="87">
        <f t="shared" si="128"/>
        <v>1202.3125416419357</v>
      </c>
      <c r="L182" s="87">
        <f t="shared" si="128"/>
        <v>1222.5447036172368</v>
      </c>
      <c r="M182" s="87">
        <f t="shared" si="128"/>
        <v>1243.429515978838</v>
      </c>
      <c r="N182" s="87">
        <f t="shared" si="128"/>
        <v>1276.957471623844</v>
      </c>
      <c r="O182" s="87">
        <f t="shared" si="128"/>
        <v>1311.0316434301519</v>
      </c>
      <c r="P182" s="87">
        <f t="shared" si="128"/>
        <v>1345.6596029254235</v>
      </c>
      <c r="Q182" s="3"/>
    </row>
    <row r="183" spans="3:17">
      <c r="C183" s="3" t="s">
        <v>2516</v>
      </c>
      <c r="D183" s="5">
        <f t="shared" ref="D183:I183" si="129">D182/D185</f>
        <v>0.48882909551131598</v>
      </c>
      <c r="E183" s="5">
        <f t="shared" si="129"/>
        <v>0.52106144464760618</v>
      </c>
      <c r="F183" s="5">
        <f t="shared" si="129"/>
        <v>0.37315134257266447</v>
      </c>
      <c r="G183" s="5">
        <f t="shared" si="129"/>
        <v>0.72831571560017072</v>
      </c>
      <c r="H183" s="5">
        <f t="shared" si="129"/>
        <v>0.6254098931220734</v>
      </c>
      <c r="I183" s="5">
        <f t="shared" si="129"/>
        <v>0.44692236598890944</v>
      </c>
      <c r="J183" s="440">
        <v>0.48</v>
      </c>
      <c r="K183" s="440">
        <v>0.48</v>
      </c>
      <c r="L183" s="440">
        <v>0.48</v>
      </c>
      <c r="M183" s="440">
        <v>0.48</v>
      </c>
      <c r="N183" s="440">
        <v>0.48</v>
      </c>
      <c r="O183" s="440">
        <v>0.48</v>
      </c>
      <c r="P183" s="440">
        <v>0.48</v>
      </c>
      <c r="Q183" s="3"/>
    </row>
    <row r="184" spans="3:17">
      <c r="C184" s="3"/>
      <c r="D184" s="87"/>
      <c r="E184" s="8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3:17">
      <c r="C185" s="3" t="s">
        <v>82</v>
      </c>
      <c r="D185" s="266">
        <f>Interims!AU293+Interims!AV293+Interims!AW293+Interims!AX293</f>
        <v>1715.1758485</v>
      </c>
      <c r="E185" s="266">
        <f>Interims!AY293+Interims!AZ293+Interims!BA293+Interims!BB293</f>
        <v>1878.4822048999999</v>
      </c>
      <c r="F185" s="266">
        <f>Interims!BC293+Interims!BD293+Interims!BE293+Interims!BF293</f>
        <v>2075.5490243000004</v>
      </c>
      <c r="G185" s="266">
        <f>Interims!BG293+Interims!BH293+Interims!BI293+Interims!BJ293</f>
        <v>2306.9605133999999</v>
      </c>
      <c r="H185" s="87">
        <f>H151/H206</f>
        <v>2331.9610882016036</v>
      </c>
      <c r="I185" s="87">
        <f>I151/I206</f>
        <v>2408.7380952380954</v>
      </c>
      <c r="J185" s="87">
        <f>J197*AVERAGE(I188,J188)*12/1000</f>
        <v>2454.4393240557647</v>
      </c>
      <c r="K185" s="87">
        <f t="shared" ref="K185:P185" si="130">K197*AVERAGE(J188,K188)*12/1000</f>
        <v>2504.817795087366</v>
      </c>
      <c r="L185" s="87">
        <f t="shared" si="130"/>
        <v>2546.9681325359102</v>
      </c>
      <c r="M185" s="87">
        <f t="shared" si="130"/>
        <v>2590.478158289246</v>
      </c>
      <c r="N185" s="87">
        <f t="shared" si="130"/>
        <v>2660.3280658830085</v>
      </c>
      <c r="O185" s="87">
        <f t="shared" si="130"/>
        <v>2731.3159238128164</v>
      </c>
      <c r="P185" s="87">
        <f t="shared" si="130"/>
        <v>2803.4575060946327</v>
      </c>
      <c r="Q185" s="3"/>
    </row>
    <row r="186" spans="3:17">
      <c r="C186" s="3" t="s">
        <v>612</v>
      </c>
      <c r="D186" s="87"/>
      <c r="E186" s="5">
        <f t="shared" ref="E186:P186" si="131">E185/D185-1</f>
        <v>9.5212602569479277E-2</v>
      </c>
      <c r="F186" s="5">
        <f t="shared" si="131"/>
        <v>0.10490747204629036</v>
      </c>
      <c r="G186" s="5">
        <f t="shared" si="131"/>
        <v>0.11149410897583856</v>
      </c>
      <c r="H186" s="5">
        <f t="shared" si="131"/>
        <v>1.0837018950427435E-2</v>
      </c>
      <c r="I186" s="5">
        <f t="shared" si="131"/>
        <v>3.2923794236936255E-2</v>
      </c>
      <c r="J186" s="5">
        <f t="shared" si="131"/>
        <v>1.8973100026116407E-2</v>
      </c>
      <c r="K186" s="5">
        <f t="shared" si="131"/>
        <v>2.0525449758666214E-2</v>
      </c>
      <c r="L186" s="5">
        <f t="shared" si="131"/>
        <v>1.6827706003691212E-2</v>
      </c>
      <c r="M186" s="5">
        <f t="shared" si="131"/>
        <v>1.7083066410420678E-2</v>
      </c>
      <c r="N186" s="5">
        <f t="shared" si="131"/>
        <v>2.6964098257401092E-2</v>
      </c>
      <c r="O186" s="5">
        <f t="shared" si="131"/>
        <v>2.6683873632046051E-2</v>
      </c>
      <c r="P186" s="5">
        <f t="shared" si="131"/>
        <v>2.6412756449319508E-2</v>
      </c>
      <c r="Q186" s="3"/>
    </row>
    <row r="187" spans="3:17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3:17">
      <c r="C188" s="87" t="s">
        <v>0</v>
      </c>
      <c r="D188" s="87">
        <f t="shared" ref="D188:P188" si="132">D191+D194</f>
        <v>7815</v>
      </c>
      <c r="E188" s="87">
        <f t="shared" si="132"/>
        <v>8293</v>
      </c>
      <c r="F188" s="87">
        <f t="shared" si="132"/>
        <v>8885</v>
      </c>
      <c r="G188" s="87">
        <f t="shared" si="132"/>
        <v>9895</v>
      </c>
      <c r="H188" s="87">
        <f t="shared" si="132"/>
        <v>10049</v>
      </c>
      <c r="I188" s="87">
        <f t="shared" si="132"/>
        <v>9096</v>
      </c>
      <c r="J188" s="87">
        <f t="shared" si="132"/>
        <v>9136</v>
      </c>
      <c r="K188" s="87">
        <f t="shared" si="132"/>
        <v>9286</v>
      </c>
      <c r="L188" s="87">
        <f t="shared" si="132"/>
        <v>9446</v>
      </c>
      <c r="M188" s="87">
        <f t="shared" si="132"/>
        <v>9606</v>
      </c>
      <c r="N188" s="87">
        <f t="shared" si="132"/>
        <v>9766</v>
      </c>
      <c r="O188" s="87">
        <f t="shared" si="132"/>
        <v>9926</v>
      </c>
      <c r="P188" s="87">
        <f t="shared" si="132"/>
        <v>10086</v>
      </c>
      <c r="Q188" s="3"/>
    </row>
    <row r="189" spans="3:17">
      <c r="C189" s="87" t="s">
        <v>2489</v>
      </c>
      <c r="D189" s="87"/>
      <c r="E189" s="87">
        <f t="shared" ref="E189:P189" si="133">E188-D188</f>
        <v>478</v>
      </c>
      <c r="F189" s="87">
        <f t="shared" si="133"/>
        <v>592</v>
      </c>
      <c r="G189" s="87">
        <f t="shared" si="133"/>
        <v>1010</v>
      </c>
      <c r="H189" s="87">
        <f t="shared" si="133"/>
        <v>154</v>
      </c>
      <c r="I189" s="87">
        <f t="shared" si="133"/>
        <v>-953</v>
      </c>
      <c r="J189" s="87">
        <f t="shared" si="133"/>
        <v>40</v>
      </c>
      <c r="K189" s="87">
        <f t="shared" si="133"/>
        <v>150</v>
      </c>
      <c r="L189" s="87">
        <f t="shared" si="133"/>
        <v>160</v>
      </c>
      <c r="M189" s="87">
        <f t="shared" si="133"/>
        <v>160</v>
      </c>
      <c r="N189" s="87">
        <f t="shared" si="133"/>
        <v>160</v>
      </c>
      <c r="O189" s="87">
        <f t="shared" si="133"/>
        <v>160</v>
      </c>
      <c r="P189" s="87">
        <f t="shared" si="133"/>
        <v>160</v>
      </c>
      <c r="Q189" s="3"/>
    </row>
    <row r="190" spans="3:17"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3"/>
    </row>
    <row r="191" spans="3:17">
      <c r="C191" s="87" t="s">
        <v>1989</v>
      </c>
      <c r="D191" s="266">
        <v>5144</v>
      </c>
      <c r="E191" s="266">
        <v>5191</v>
      </c>
      <c r="F191" s="266">
        <f>Interims!BF268</f>
        <v>5172</v>
      </c>
      <c r="G191" s="266">
        <f>Interims!BJ268</f>
        <v>5492</v>
      </c>
      <c r="H191" s="266">
        <f>Interims!BN268</f>
        <v>5472</v>
      </c>
      <c r="I191" s="266">
        <f>Interims!BR268</f>
        <v>5047</v>
      </c>
      <c r="J191" s="87">
        <f t="shared" ref="J191:P191" si="134">I191+J192</f>
        <v>4987</v>
      </c>
      <c r="K191" s="87">
        <f t="shared" si="134"/>
        <v>4987</v>
      </c>
      <c r="L191" s="87">
        <f t="shared" si="134"/>
        <v>4997</v>
      </c>
      <c r="M191" s="87">
        <f t="shared" si="134"/>
        <v>5007</v>
      </c>
      <c r="N191" s="87">
        <f t="shared" si="134"/>
        <v>5017</v>
      </c>
      <c r="O191" s="87">
        <f t="shared" si="134"/>
        <v>5027</v>
      </c>
      <c r="P191" s="87">
        <f t="shared" si="134"/>
        <v>5037</v>
      </c>
      <c r="Q191" s="3"/>
    </row>
    <row r="192" spans="3:17">
      <c r="C192" s="87" t="s">
        <v>2491</v>
      </c>
      <c r="D192" s="87"/>
      <c r="E192" s="87">
        <f>E191-D191</f>
        <v>47</v>
      </c>
      <c r="F192" s="87">
        <f>F191-E191</f>
        <v>-19</v>
      </c>
      <c r="G192" s="87">
        <f>G191-F191</f>
        <v>320</v>
      </c>
      <c r="H192" s="87">
        <f>H191-G191</f>
        <v>-20</v>
      </c>
      <c r="I192" s="87">
        <f>I191-H191</f>
        <v>-425</v>
      </c>
      <c r="J192" s="266">
        <v>-60</v>
      </c>
      <c r="K192" s="266">
        <v>0</v>
      </c>
      <c r="L192" s="266">
        <v>10</v>
      </c>
      <c r="M192" s="266">
        <v>10</v>
      </c>
      <c r="N192" s="266">
        <v>10</v>
      </c>
      <c r="O192" s="266">
        <v>10</v>
      </c>
      <c r="P192" s="266">
        <v>10</v>
      </c>
      <c r="Q192" s="3"/>
    </row>
    <row r="193" spans="3:17"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3"/>
    </row>
    <row r="194" spans="3:17">
      <c r="C194" s="87" t="s">
        <v>2492</v>
      </c>
      <c r="D194" s="266">
        <v>2671</v>
      </c>
      <c r="E194" s="266">
        <v>3102</v>
      </c>
      <c r="F194" s="266">
        <f>Interims!BF267</f>
        <v>3713</v>
      </c>
      <c r="G194" s="266">
        <f>Interims!BJ267</f>
        <v>4403</v>
      </c>
      <c r="H194" s="266">
        <f>Interims!BN267</f>
        <v>4577</v>
      </c>
      <c r="I194" s="266">
        <f>Interims!BR267</f>
        <v>4049</v>
      </c>
      <c r="J194" s="87">
        <f t="shared" ref="J194:P194" si="135">I194+J195</f>
        <v>4149</v>
      </c>
      <c r="K194" s="87">
        <f t="shared" si="135"/>
        <v>4299</v>
      </c>
      <c r="L194" s="87">
        <f t="shared" si="135"/>
        <v>4449</v>
      </c>
      <c r="M194" s="87">
        <f t="shared" si="135"/>
        <v>4599</v>
      </c>
      <c r="N194" s="87">
        <f t="shared" si="135"/>
        <v>4749</v>
      </c>
      <c r="O194" s="87">
        <f t="shared" si="135"/>
        <v>4899</v>
      </c>
      <c r="P194" s="87">
        <f t="shared" si="135"/>
        <v>5049</v>
      </c>
      <c r="Q194" s="3"/>
    </row>
    <row r="195" spans="3:17">
      <c r="C195" s="87" t="s">
        <v>2491</v>
      </c>
      <c r="D195" s="87"/>
      <c r="E195" s="87">
        <f>E194-D194</f>
        <v>431</v>
      </c>
      <c r="F195" s="87">
        <f>F194-E194</f>
        <v>611</v>
      </c>
      <c r="G195" s="87">
        <f>G194-F194</f>
        <v>690</v>
      </c>
      <c r="H195" s="87">
        <f>H194-G194</f>
        <v>174</v>
      </c>
      <c r="I195" s="87">
        <f>I194-H194</f>
        <v>-528</v>
      </c>
      <c r="J195" s="266">
        <v>100</v>
      </c>
      <c r="K195" s="266">
        <v>150</v>
      </c>
      <c r="L195" s="266">
        <v>150</v>
      </c>
      <c r="M195" s="266">
        <v>150</v>
      </c>
      <c r="N195" s="266">
        <v>150</v>
      </c>
      <c r="O195" s="266">
        <v>150</v>
      </c>
      <c r="P195" s="266">
        <v>150</v>
      </c>
      <c r="Q195" s="3"/>
    </row>
    <row r="196" spans="3:17"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3"/>
    </row>
    <row r="197" spans="3:17">
      <c r="C197" s="87" t="s">
        <v>1642</v>
      </c>
      <c r="D197" s="456">
        <f>D185/AVERAGE(6543,D188)/12*1000</f>
        <v>19.909642110089614</v>
      </c>
      <c r="E197" s="456">
        <f>E185/AVERAGE(D188,E188)/12*1000</f>
        <v>19.436327755359656</v>
      </c>
      <c r="F197" s="456">
        <f>F185/AVERAGE(E188,F188)/12*1000</f>
        <v>20.137666630768042</v>
      </c>
      <c r="G197" s="456">
        <f>G185/AVERAGE(F188,G188)/12*1000</f>
        <v>20.473557981895635</v>
      </c>
      <c r="H197" s="456">
        <f>H185/AVERAGE(G188,H188)/12*1000</f>
        <v>19.487574276320395</v>
      </c>
      <c r="I197" s="456">
        <f>I185/AVERAGE(H188,I188)/12*1000</f>
        <v>20.969253027231613</v>
      </c>
      <c r="J197" s="456">
        <f t="shared" ref="J197:P197" si="136">(1+J198)*I197</f>
        <v>22.437100739137826</v>
      </c>
      <c r="K197" s="456">
        <f t="shared" si="136"/>
        <v>22.661471746529205</v>
      </c>
      <c r="L197" s="456">
        <f t="shared" si="136"/>
        <v>22.661471746529205</v>
      </c>
      <c r="M197" s="456">
        <f t="shared" si="136"/>
        <v>22.661471746529205</v>
      </c>
      <c r="N197" s="456">
        <f t="shared" si="136"/>
        <v>22.888086463994497</v>
      </c>
      <c r="O197" s="456">
        <f t="shared" si="136"/>
        <v>23.116967328634441</v>
      </c>
      <c r="P197" s="456">
        <f t="shared" si="136"/>
        <v>23.348137001920787</v>
      </c>
      <c r="Q197" s="3"/>
    </row>
    <row r="198" spans="3:17">
      <c r="C198" s="456" t="s">
        <v>63</v>
      </c>
      <c r="D198" s="456"/>
      <c r="E198" s="5">
        <f>E197/D197-1</f>
        <v>-2.3773122194401308E-2</v>
      </c>
      <c r="F198" s="5">
        <f>F197/E197-1</f>
        <v>3.6083918949915139E-2</v>
      </c>
      <c r="G198" s="5">
        <f>G197/F197-1</f>
        <v>1.6679755270870844E-2</v>
      </c>
      <c r="H198" s="5">
        <f>H197/G197-1</f>
        <v>-4.815888408097535E-2</v>
      </c>
      <c r="I198" s="5">
        <f>I197/H197-1</f>
        <v>7.6031974523972812E-2</v>
      </c>
      <c r="J198" s="97">
        <v>7.0000000000000007E-2</v>
      </c>
      <c r="K198" s="97">
        <v>0.01</v>
      </c>
      <c r="L198" s="97">
        <v>0</v>
      </c>
      <c r="M198" s="97">
        <v>0</v>
      </c>
      <c r="N198" s="97">
        <v>0.01</v>
      </c>
      <c r="O198" s="97">
        <v>0.01</v>
      </c>
      <c r="P198" s="97">
        <v>0.01</v>
      </c>
      <c r="Q198" s="3"/>
    </row>
    <row r="199" spans="3:17"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3"/>
    </row>
    <row r="200" spans="3:17">
      <c r="C200" s="3" t="str">
        <f>C213</f>
        <v>EBITDA</v>
      </c>
      <c r="D200" s="87">
        <f t="shared" ref="D200:P200" si="137">D213*D$204</f>
        <v>-258.66967</v>
      </c>
      <c r="E200" s="87">
        <f t="shared" si="137"/>
        <v>228.16542000000004</v>
      </c>
      <c r="F200" s="87">
        <f t="shared" si="137"/>
        <v>407.1357636236483</v>
      </c>
      <c r="G200" s="87">
        <f t="shared" si="137"/>
        <v>675.13911497079721</v>
      </c>
      <c r="H200" s="87">
        <f t="shared" si="137"/>
        <v>790.0717678348027</v>
      </c>
      <c r="I200" s="87">
        <f t="shared" si="137"/>
        <v>897.57299846737692</v>
      </c>
      <c r="J200" s="87">
        <f t="shared" si="137"/>
        <v>908.14254990063296</v>
      </c>
      <c r="K200" s="87">
        <f t="shared" si="137"/>
        <v>963.85388754961843</v>
      </c>
      <c r="L200" s="87">
        <f t="shared" si="137"/>
        <v>1017.7684657613497</v>
      </c>
      <c r="M200" s="87">
        <f t="shared" si="137"/>
        <v>1073.4941487950639</v>
      </c>
      <c r="N200" s="87">
        <f t="shared" si="137"/>
        <v>1122.1263781894531</v>
      </c>
      <c r="O200" s="87">
        <f t="shared" si="137"/>
        <v>1172.2807945004613</v>
      </c>
      <c r="P200" s="87">
        <f t="shared" si="137"/>
        <v>1223.9895471609166</v>
      </c>
      <c r="Q200" s="3"/>
    </row>
    <row r="201" spans="3:17">
      <c r="C201" s="3" t="str">
        <f>C214</f>
        <v>% margin</v>
      </c>
      <c r="D201" s="5">
        <f t="shared" ref="D201:P201" si="138">D200/D179</f>
        <v>-0.10129593298842871</v>
      </c>
      <c r="E201" s="5">
        <f t="shared" si="138"/>
        <v>7.9853872387549707E-2</v>
      </c>
      <c r="F201" s="5">
        <f t="shared" si="138"/>
        <v>0.14285250212868025</v>
      </c>
      <c r="G201" s="5">
        <f t="shared" si="138"/>
        <v>0.1693284878361288</v>
      </c>
      <c r="H201" s="5">
        <f t="shared" si="138"/>
        <v>0.20844061457163518</v>
      </c>
      <c r="I201" s="5">
        <f t="shared" si="138"/>
        <v>0.25753423415708204</v>
      </c>
      <c r="J201" s="5">
        <f t="shared" si="138"/>
        <v>0.25</v>
      </c>
      <c r="K201" s="5">
        <f t="shared" si="138"/>
        <v>0.26</v>
      </c>
      <c r="L201" s="5">
        <f t="shared" si="138"/>
        <v>0.27</v>
      </c>
      <c r="M201" s="5">
        <f t="shared" si="138"/>
        <v>0.28000000000000008</v>
      </c>
      <c r="N201" s="5">
        <f t="shared" si="138"/>
        <v>0.28500000000000003</v>
      </c>
      <c r="O201" s="5">
        <f t="shared" si="138"/>
        <v>0.29000000000000009</v>
      </c>
      <c r="P201" s="5">
        <f t="shared" si="138"/>
        <v>0.29500000000000004</v>
      </c>
      <c r="Q201" s="3"/>
    </row>
    <row r="202" spans="3:17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3:17">
      <c r="C203" s="272" t="s">
        <v>2536</v>
      </c>
      <c r="D203" s="272">
        <f t="shared" ref="D203:P203" si="139">D178</f>
        <v>2018</v>
      </c>
      <c r="E203" s="272">
        <f t="shared" si="139"/>
        <v>2019</v>
      </c>
      <c r="F203" s="272">
        <f t="shared" si="139"/>
        <v>2020</v>
      </c>
      <c r="G203" s="272">
        <f t="shared" si="139"/>
        <v>2021</v>
      </c>
      <c r="H203" s="272">
        <f t="shared" si="139"/>
        <v>2022</v>
      </c>
      <c r="I203" s="272">
        <f t="shared" si="139"/>
        <v>2023</v>
      </c>
      <c r="J203" s="272">
        <f t="shared" si="139"/>
        <v>2024</v>
      </c>
      <c r="K203" s="272">
        <f t="shared" si="139"/>
        <v>2025</v>
      </c>
      <c r="L203" s="272">
        <f t="shared" si="139"/>
        <v>2026</v>
      </c>
      <c r="M203" s="272">
        <f t="shared" si="139"/>
        <v>2027</v>
      </c>
      <c r="N203" s="272">
        <f t="shared" si="139"/>
        <v>2028</v>
      </c>
      <c r="O203" s="272">
        <f t="shared" si="139"/>
        <v>2029</v>
      </c>
      <c r="P203" s="272">
        <f t="shared" si="139"/>
        <v>2030</v>
      </c>
      <c r="Q203" s="3"/>
    </row>
    <row r="204" spans="3:17">
      <c r="C204" s="3" t="s">
        <v>2496</v>
      </c>
      <c r="D204" s="453">
        <v>3.29</v>
      </c>
      <c r="E204" s="453">
        <v>3.34</v>
      </c>
      <c r="F204" s="453">
        <v>3.5</v>
      </c>
      <c r="G204" s="453">
        <v>3.881617928503788</v>
      </c>
      <c r="H204" s="453">
        <v>3.83</v>
      </c>
      <c r="I204" s="453">
        <v>3.74</v>
      </c>
      <c r="J204" s="453">
        <v>3.81</v>
      </c>
      <c r="K204" s="454">
        <f t="shared" ref="K204:P204" si="140">(1+K205)*J204</f>
        <v>3.8481000000000001</v>
      </c>
      <c r="L204" s="454">
        <f t="shared" si="140"/>
        <v>3.8865810000000001</v>
      </c>
      <c r="M204" s="454">
        <f t="shared" si="140"/>
        <v>3.92544681</v>
      </c>
      <c r="N204" s="454">
        <f t="shared" si="140"/>
        <v>3.9647012781000002</v>
      </c>
      <c r="O204" s="454">
        <f t="shared" si="140"/>
        <v>4.0043482908810004</v>
      </c>
      <c r="P204" s="454">
        <f t="shared" si="140"/>
        <v>4.0443917737898101</v>
      </c>
      <c r="Q204" s="3"/>
    </row>
    <row r="205" spans="3:17">
      <c r="C205" s="3" t="s">
        <v>63</v>
      </c>
      <c r="D205" s="3"/>
      <c r="E205" s="8">
        <f t="shared" ref="E205:J205" si="141">E204/D204-1</f>
        <v>1.5197568389057725E-2</v>
      </c>
      <c r="F205" s="8">
        <f t="shared" si="141"/>
        <v>4.7904191616766401E-2</v>
      </c>
      <c r="G205" s="8">
        <f t="shared" si="141"/>
        <v>0.10903369385822503</v>
      </c>
      <c r="H205" s="8">
        <f t="shared" si="141"/>
        <v>-1.3298044643895279E-2</v>
      </c>
      <c r="I205" s="8">
        <f t="shared" si="141"/>
        <v>-2.3498694516971286E-2</v>
      </c>
      <c r="J205" s="8">
        <f t="shared" si="141"/>
        <v>1.8716577540106805E-2</v>
      </c>
      <c r="K205" s="97">
        <v>0.01</v>
      </c>
      <c r="L205" s="97">
        <v>0.01</v>
      </c>
      <c r="M205" s="97">
        <v>0.01</v>
      </c>
      <c r="N205" s="97">
        <v>0.01</v>
      </c>
      <c r="O205" s="97">
        <v>0.01</v>
      </c>
      <c r="P205" s="97">
        <v>0.01</v>
      </c>
      <c r="Q205" s="3"/>
    </row>
    <row r="206" spans="3:17">
      <c r="C206" s="3" t="s">
        <v>2535</v>
      </c>
      <c r="D206" s="7">
        <f t="shared" ref="D206:P206" si="142">D175/D204</f>
        <v>195.13677811550153</v>
      </c>
      <c r="E206" s="7">
        <f t="shared" si="142"/>
        <v>210.47904191616766</v>
      </c>
      <c r="F206" s="7">
        <f t="shared" si="142"/>
        <v>226.28571428571428</v>
      </c>
      <c r="G206" s="7">
        <f t="shared" ref="G206" si="143">G175/G204</f>
        <v>196.05226841409808</v>
      </c>
      <c r="H206" s="7">
        <f t="shared" si="142"/>
        <v>227.9373368146214</v>
      </c>
      <c r="I206" s="7">
        <f t="shared" si="142"/>
        <v>224.59893048128342</v>
      </c>
      <c r="J206" s="7">
        <f t="shared" si="142"/>
        <v>244.17322834645668</v>
      </c>
      <c r="K206" s="7">
        <f t="shared" si="142"/>
        <v>246.59078506275821</v>
      </c>
      <c r="L206" s="7">
        <f t="shared" si="142"/>
        <v>249.03227798417169</v>
      </c>
      <c r="M206" s="7">
        <f t="shared" si="142"/>
        <v>251.49794410282686</v>
      </c>
      <c r="N206" s="7">
        <f t="shared" si="142"/>
        <v>253.98802275731029</v>
      </c>
      <c r="O206" s="7">
        <f t="shared" si="142"/>
        <v>256.50275565589749</v>
      </c>
      <c r="P206" s="7">
        <f t="shared" si="142"/>
        <v>259.04238690001529</v>
      </c>
      <c r="Q206" s="3"/>
    </row>
    <row r="207" spans="3:17">
      <c r="C207" s="3" t="s">
        <v>63</v>
      </c>
      <c r="D207" s="7"/>
      <c r="E207" s="8">
        <f t="shared" ref="E207:P207" si="144">E206/D206-1</f>
        <v>7.8623127576622487E-2</v>
      </c>
      <c r="F207" s="8">
        <f t="shared" si="144"/>
        <v>7.5098557203820304E-2</v>
      </c>
      <c r="G207" s="8">
        <f t="shared" si="144"/>
        <v>-0.13360739968517255</v>
      </c>
      <c r="H207" s="8">
        <f t="shared" si="144"/>
        <v>0.1626355494809999</v>
      </c>
      <c r="I207" s="8">
        <f t="shared" si="144"/>
        <v>-1.4646158369627127E-2</v>
      </c>
      <c r="J207" s="8">
        <f t="shared" si="144"/>
        <v>8.7152230971128564E-2</v>
      </c>
      <c r="K207" s="8">
        <f t="shared" si="144"/>
        <v>9.9009900990099098E-3</v>
      </c>
      <c r="L207" s="8">
        <f t="shared" si="144"/>
        <v>9.9009900990099098E-3</v>
      </c>
      <c r="M207" s="8">
        <f t="shared" si="144"/>
        <v>9.9009900990099098E-3</v>
      </c>
      <c r="N207" s="8">
        <f t="shared" si="144"/>
        <v>9.9009900990099098E-3</v>
      </c>
      <c r="O207" s="8">
        <f t="shared" si="144"/>
        <v>9.9009900990096877E-3</v>
      </c>
      <c r="P207" s="8">
        <f t="shared" si="144"/>
        <v>9.9009900990099098E-3</v>
      </c>
      <c r="Q207" s="3"/>
    </row>
    <row r="208" spans="3:17">
      <c r="C208" s="3"/>
      <c r="D208" s="3"/>
      <c r="E208" s="8"/>
      <c r="F208" s="7"/>
      <c r="G208" s="7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3:17">
      <c r="C209" s="3" t="s">
        <v>413</v>
      </c>
      <c r="D209" s="7">
        <f>D179/D204</f>
        <v>776.17133956386294</v>
      </c>
      <c r="E209" s="7">
        <f>E179/E204</f>
        <v>855.47510668563314</v>
      </c>
      <c r="F209" s="7">
        <f t="shared" ref="F209:P209" si="145">F179/F$204</f>
        <v>814.29797979797979</v>
      </c>
      <c r="G209" s="7">
        <f t="shared" ref="G209" si="146">G179/G$204</f>
        <v>1027.1892247043363</v>
      </c>
      <c r="H209" s="7">
        <f t="shared" si="145"/>
        <v>989.65864833906073</v>
      </c>
      <c r="I209" s="7">
        <f>I179/I$204</f>
        <v>931.88690476190482</v>
      </c>
      <c r="J209" s="7">
        <f t="shared" si="145"/>
        <v>953.43049858334166</v>
      </c>
      <c r="K209" s="7">
        <f t="shared" si="145"/>
        <v>963.36642413900404</v>
      </c>
      <c r="L209" s="7">
        <f t="shared" si="145"/>
        <v>969.87888227548763</v>
      </c>
      <c r="M209" s="7">
        <f t="shared" si="145"/>
        <v>976.68058181333095</v>
      </c>
      <c r="N209" s="7">
        <f t="shared" si="145"/>
        <v>993.085042561823</v>
      </c>
      <c r="O209" s="7">
        <f t="shared" si="145"/>
        <v>1009.4895033103147</v>
      </c>
      <c r="P209" s="7">
        <f t="shared" si="145"/>
        <v>1025.8939640588064</v>
      </c>
      <c r="Q209" s="3"/>
    </row>
    <row r="210" spans="3:17">
      <c r="C210" s="4" t="s">
        <v>2895</v>
      </c>
      <c r="D210" s="7"/>
      <c r="E210" s="7">
        <f>E185/E$204</f>
        <v>562.41982182634729</v>
      </c>
      <c r="F210" s="7">
        <f>F185/F$204</f>
        <v>593.01400694285724</v>
      </c>
      <c r="G210" s="7">
        <f>G185/G$204</f>
        <v>594.3296212796613</v>
      </c>
      <c r="H210" s="7">
        <f t="shared" ref="H210:P210" si="147">H185/H$204</f>
        <v>608.86712485681551</v>
      </c>
      <c r="I210" s="7">
        <f t="shared" si="147"/>
        <v>644.04761904761904</v>
      </c>
      <c r="J210" s="7">
        <f t="shared" si="147"/>
        <v>644.20979634009575</v>
      </c>
      <c r="K210" s="7">
        <f t="shared" si="147"/>
        <v>650.92325955338117</v>
      </c>
      <c r="L210" s="7">
        <f t="shared" si="147"/>
        <v>655.32356910505916</v>
      </c>
      <c r="M210" s="7">
        <f t="shared" si="147"/>
        <v>659.91931203603451</v>
      </c>
      <c r="N210" s="7">
        <f t="shared" si="147"/>
        <v>671.00340713636683</v>
      </c>
      <c r="O210" s="7">
        <f t="shared" si="147"/>
        <v>682.08750223669904</v>
      </c>
      <c r="P210" s="7">
        <f t="shared" si="147"/>
        <v>693.17159733703147</v>
      </c>
      <c r="Q210" s="3"/>
    </row>
    <row r="211" spans="3:17">
      <c r="C211" s="4" t="s">
        <v>2896</v>
      </c>
      <c r="D211" s="7"/>
      <c r="E211" s="7">
        <f>E182/E$204</f>
        <v>293.05528485928579</v>
      </c>
      <c r="F211" s="7">
        <f>F182/F$204</f>
        <v>221.28397285512256</v>
      </c>
      <c r="G211" s="7">
        <f>G182/G$204</f>
        <v>432.85960342467502</v>
      </c>
      <c r="H211" s="7">
        <f t="shared" ref="H211:P211" si="148">H182/H$204</f>
        <v>380.79152348224517</v>
      </c>
      <c r="I211" s="7">
        <f t="shared" si="148"/>
        <v>287.83928571428572</v>
      </c>
      <c r="J211" s="7">
        <f t="shared" si="148"/>
        <v>309.22070224324591</v>
      </c>
      <c r="K211" s="7">
        <f t="shared" si="148"/>
        <v>312.44316458562292</v>
      </c>
      <c r="L211" s="7">
        <f t="shared" si="148"/>
        <v>314.55531317042841</v>
      </c>
      <c r="M211" s="7">
        <f t="shared" si="148"/>
        <v>316.76126977729655</v>
      </c>
      <c r="N211" s="7">
        <f t="shared" si="148"/>
        <v>322.08163542545606</v>
      </c>
      <c r="O211" s="7">
        <f t="shared" si="148"/>
        <v>327.40200107361557</v>
      </c>
      <c r="P211" s="7">
        <f t="shared" si="148"/>
        <v>332.72236672177507</v>
      </c>
      <c r="Q211" s="3"/>
    </row>
    <row r="212" spans="3:17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3:17">
      <c r="C213" s="3" t="s">
        <v>4</v>
      </c>
      <c r="D213" s="266">
        <v>-78.623000000000005</v>
      </c>
      <c r="E213" s="266">
        <f>181.413-113.1</f>
        <v>68.313000000000017</v>
      </c>
      <c r="F213" s="99">
        <f>Interims!BC298+Interims!BD298+Interims!BE298+Interims!BF298</f>
        <v>116.32450389247094</v>
      </c>
      <c r="G213" s="99">
        <f>Interims!BG298+Interims!BH298+Interims!BI298+Interims!BJ298</f>
        <v>173.93239814075079</v>
      </c>
      <c r="H213" s="99">
        <f>Interims!BK298+Interims!BL298+Interims!BM298+Interims!BN298</f>
        <v>206.28505687592761</v>
      </c>
      <c r="I213" s="99">
        <f>SUM(Interims!BO298:BR298)</f>
        <v>239.99278033887083</v>
      </c>
      <c r="J213" s="7">
        <f t="shared" ref="J213:P213" si="149">J162/J175</f>
        <v>238.35762464583541</v>
      </c>
      <c r="K213" s="7">
        <f t="shared" si="149"/>
        <v>250.47527027614106</v>
      </c>
      <c r="L213" s="7">
        <f t="shared" si="149"/>
        <v>261.86729821438166</v>
      </c>
      <c r="M213" s="7">
        <f t="shared" si="149"/>
        <v>273.47056290773276</v>
      </c>
      <c r="N213" s="7">
        <f t="shared" si="149"/>
        <v>283.02923713011961</v>
      </c>
      <c r="O213" s="7">
        <f t="shared" si="149"/>
        <v>292.75195595999134</v>
      </c>
      <c r="P213" s="7">
        <f t="shared" si="149"/>
        <v>302.63871939734793</v>
      </c>
      <c r="Q213" s="3"/>
    </row>
    <row r="214" spans="3:17">
      <c r="C214" s="3" t="s">
        <v>5</v>
      </c>
      <c r="D214" s="5">
        <f t="shared" ref="D214:P214" si="150">D213/D209</f>
        <v>-0.10129593298842871</v>
      </c>
      <c r="E214" s="5">
        <f t="shared" si="150"/>
        <v>7.9853872387549707E-2</v>
      </c>
      <c r="F214" s="5">
        <f t="shared" si="150"/>
        <v>0.14285250212868025</v>
      </c>
      <c r="G214" s="5">
        <f t="shared" si="150"/>
        <v>0.1693284878361288</v>
      </c>
      <c r="H214" s="5">
        <f t="shared" si="150"/>
        <v>0.20844061457163518</v>
      </c>
      <c r="I214" s="5">
        <f t="shared" si="150"/>
        <v>0.25753423415708204</v>
      </c>
      <c r="J214" s="5">
        <f t="shared" si="150"/>
        <v>0.25</v>
      </c>
      <c r="K214" s="5">
        <f t="shared" si="150"/>
        <v>0.26</v>
      </c>
      <c r="L214" s="5">
        <f t="shared" si="150"/>
        <v>0.27</v>
      </c>
      <c r="M214" s="5">
        <f t="shared" si="150"/>
        <v>0.28000000000000008</v>
      </c>
      <c r="N214" s="5">
        <f t="shared" si="150"/>
        <v>0.28500000000000003</v>
      </c>
      <c r="O214" s="5">
        <f t="shared" si="150"/>
        <v>0.29000000000000009</v>
      </c>
      <c r="P214" s="5">
        <f t="shared" si="150"/>
        <v>0.29500000000000004</v>
      </c>
      <c r="Q214" s="3"/>
    </row>
    <row r="215" spans="3:17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3:17">
      <c r="C216" s="279" t="s">
        <v>231</v>
      </c>
      <c r="D216" s="279">
        <f t="shared" ref="D216:P216" si="151">D2</f>
        <v>2018</v>
      </c>
      <c r="E216" s="279">
        <f t="shared" si="151"/>
        <v>2019</v>
      </c>
      <c r="F216" s="279">
        <f t="shared" si="151"/>
        <v>2020</v>
      </c>
      <c r="G216" s="279">
        <f t="shared" si="151"/>
        <v>2021</v>
      </c>
      <c r="H216" s="279">
        <f t="shared" si="151"/>
        <v>2022</v>
      </c>
      <c r="I216" s="279">
        <f t="shared" si="151"/>
        <v>2023</v>
      </c>
      <c r="J216" s="279">
        <f t="shared" si="151"/>
        <v>2024</v>
      </c>
      <c r="K216" s="279">
        <f t="shared" si="151"/>
        <v>2025</v>
      </c>
      <c r="L216" s="279">
        <f t="shared" si="151"/>
        <v>2026</v>
      </c>
      <c r="M216" s="279">
        <f t="shared" si="151"/>
        <v>2027</v>
      </c>
      <c r="N216" s="279">
        <f t="shared" si="151"/>
        <v>2028</v>
      </c>
      <c r="O216" s="279">
        <f t="shared" si="151"/>
        <v>2029</v>
      </c>
      <c r="P216" s="279">
        <f t="shared" si="151"/>
        <v>2030</v>
      </c>
      <c r="Q216" s="3"/>
    </row>
    <row r="217" spans="3:17">
      <c r="D217" s="166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3"/>
    </row>
    <row r="218" spans="3:17">
      <c r="C218" s="3" t="s">
        <v>1056</v>
      </c>
      <c r="D218" s="266">
        <v>72248</v>
      </c>
      <c r="E218" s="266">
        <f>447412</f>
        <v>447412</v>
      </c>
      <c r="F218" s="266">
        <v>202481</v>
      </c>
      <c r="G218" s="266">
        <v>108605</v>
      </c>
      <c r="H218" s="266">
        <v>186542.3</v>
      </c>
      <c r="I218" s="266">
        <v>530862</v>
      </c>
      <c r="J218" s="87">
        <f t="shared" ref="J218:P218" si="152">I218</f>
        <v>530862</v>
      </c>
      <c r="K218" s="87">
        <f t="shared" si="152"/>
        <v>530862</v>
      </c>
      <c r="L218" s="87">
        <f t="shared" si="152"/>
        <v>530862</v>
      </c>
      <c r="M218" s="87">
        <f t="shared" si="152"/>
        <v>530862</v>
      </c>
      <c r="N218" s="87">
        <f t="shared" si="152"/>
        <v>530862</v>
      </c>
      <c r="O218" s="87">
        <f t="shared" si="152"/>
        <v>530862</v>
      </c>
      <c r="P218" s="87">
        <f t="shared" si="152"/>
        <v>530862</v>
      </c>
      <c r="Q218" s="3"/>
    </row>
    <row r="219" spans="3:17">
      <c r="C219" s="3" t="s">
        <v>107</v>
      </c>
      <c r="D219" s="266">
        <v>438740</v>
      </c>
      <c r="E219" s="266">
        <v>508571</v>
      </c>
      <c r="F219" s="266">
        <v>489258</v>
      </c>
      <c r="G219" s="266">
        <v>620457</v>
      </c>
      <c r="H219" s="266">
        <v>645453</v>
      </c>
      <c r="I219" s="266">
        <v>633257.35800000001</v>
      </c>
      <c r="J219" s="87">
        <f t="shared" ref="J219:P219" si="153">I219</f>
        <v>633257.35800000001</v>
      </c>
      <c r="K219" s="87">
        <f t="shared" si="153"/>
        <v>633257.35800000001</v>
      </c>
      <c r="L219" s="87">
        <f t="shared" si="153"/>
        <v>633257.35800000001</v>
      </c>
      <c r="M219" s="87">
        <f t="shared" si="153"/>
        <v>633257.35800000001</v>
      </c>
      <c r="N219" s="87">
        <f t="shared" si="153"/>
        <v>633257.35800000001</v>
      </c>
      <c r="O219" s="87">
        <f t="shared" si="153"/>
        <v>633257.35800000001</v>
      </c>
      <c r="P219" s="87">
        <f t="shared" si="153"/>
        <v>633257.35800000001</v>
      </c>
      <c r="Q219" s="3"/>
    </row>
    <row r="220" spans="3:17">
      <c r="C220" s="2" t="s">
        <v>108</v>
      </c>
      <c r="D220" s="379">
        <f t="shared" ref="D220:I220" si="154">D221-D218-D219</f>
        <v>299608</v>
      </c>
      <c r="E220" s="379">
        <f t="shared" si="154"/>
        <v>394200</v>
      </c>
      <c r="F220" s="379">
        <f t="shared" si="154"/>
        <v>685220</v>
      </c>
      <c r="G220" s="379">
        <f t="shared" si="154"/>
        <v>568318</v>
      </c>
      <c r="H220" s="379">
        <f t="shared" si="154"/>
        <v>652650.69999999995</v>
      </c>
      <c r="I220" s="379">
        <f t="shared" si="154"/>
        <v>431945.64199999999</v>
      </c>
      <c r="J220" s="379">
        <f t="shared" ref="J220:P220" si="155">I220</f>
        <v>431945.64199999999</v>
      </c>
      <c r="K220" s="379">
        <f t="shared" si="155"/>
        <v>431945.64199999999</v>
      </c>
      <c r="L220" s="379">
        <f t="shared" si="155"/>
        <v>431945.64199999999</v>
      </c>
      <c r="M220" s="379">
        <f t="shared" si="155"/>
        <v>431945.64199999999</v>
      </c>
      <c r="N220" s="379">
        <f t="shared" si="155"/>
        <v>431945.64199999999</v>
      </c>
      <c r="O220" s="379">
        <f t="shared" si="155"/>
        <v>431945.64199999999</v>
      </c>
      <c r="P220" s="379">
        <f t="shared" si="155"/>
        <v>431945.64199999999</v>
      </c>
      <c r="Q220" s="3"/>
    </row>
    <row r="221" spans="3:17">
      <c r="C221" s="3" t="s">
        <v>109</v>
      </c>
      <c r="D221" s="266">
        <v>810596</v>
      </c>
      <c r="E221" s="266">
        <v>1350183</v>
      </c>
      <c r="F221" s="266">
        <v>1376959</v>
      </c>
      <c r="G221" s="266">
        <v>1297380</v>
      </c>
      <c r="H221" s="266">
        <v>1484646</v>
      </c>
      <c r="I221" s="266">
        <v>1596065</v>
      </c>
      <c r="J221" s="87">
        <f t="shared" ref="J221:P221" si="156">SUM(J218:J220)</f>
        <v>1596065</v>
      </c>
      <c r="K221" s="87">
        <f t="shared" si="156"/>
        <v>1596065</v>
      </c>
      <c r="L221" s="87">
        <f t="shared" si="156"/>
        <v>1596065</v>
      </c>
      <c r="M221" s="87">
        <f t="shared" si="156"/>
        <v>1596065</v>
      </c>
      <c r="N221" s="87">
        <f t="shared" si="156"/>
        <v>1596065</v>
      </c>
      <c r="O221" s="87">
        <f t="shared" si="156"/>
        <v>1596065</v>
      </c>
      <c r="P221" s="87">
        <f t="shared" si="156"/>
        <v>1596065</v>
      </c>
      <c r="Q221" s="3"/>
    </row>
    <row r="222" spans="3:17">
      <c r="C222" s="3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3"/>
    </row>
    <row r="223" spans="3:17">
      <c r="C223" s="3" t="s">
        <v>110</v>
      </c>
      <c r="D223" s="266">
        <v>2035133</v>
      </c>
      <c r="E223" s="266">
        <v>2042852</v>
      </c>
      <c r="F223" s="266">
        <v>1940342</v>
      </c>
      <c r="G223" s="266">
        <v>2050000</v>
      </c>
      <c r="H223" s="266">
        <v>2017214.1</v>
      </c>
      <c r="I223" s="266">
        <v>2136965.4679999999</v>
      </c>
      <c r="J223" s="87">
        <f t="shared" ref="J223:P223" si="157">I223+J39-J61</f>
        <v>2172941.5739677018</v>
      </c>
      <c r="K223" s="87">
        <f t="shared" si="157"/>
        <v>2182980.9559865328</v>
      </c>
      <c r="L223" s="87">
        <f t="shared" si="157"/>
        <v>2172603.0468229502</v>
      </c>
      <c r="M223" s="87">
        <f t="shared" si="157"/>
        <v>2166539.4072193988</v>
      </c>
      <c r="N223" s="87">
        <f t="shared" si="157"/>
        <v>2140708.5192651292</v>
      </c>
      <c r="O223" s="87">
        <f t="shared" si="157"/>
        <v>2095214.3787964873</v>
      </c>
      <c r="P223" s="87">
        <f t="shared" si="157"/>
        <v>2030143.8216454184</v>
      </c>
      <c r="Q223" s="3"/>
    </row>
    <row r="224" spans="3:17">
      <c r="C224" s="3" t="s">
        <v>111</v>
      </c>
      <c r="D224" s="266">
        <v>314967</v>
      </c>
      <c r="E224" s="266">
        <v>332273</v>
      </c>
      <c r="F224" s="266">
        <v>280882</v>
      </c>
      <c r="G224" s="266">
        <v>388041</v>
      </c>
      <c r="H224" s="266">
        <v>389794.7</v>
      </c>
      <c r="I224" s="266">
        <v>390568.66399999999</v>
      </c>
      <c r="J224" s="87">
        <f t="shared" ref="J224:P224" si="158">I224+J86</f>
        <v>390568.66399999999</v>
      </c>
      <c r="K224" s="87">
        <f t="shared" si="158"/>
        <v>390568.66399999999</v>
      </c>
      <c r="L224" s="87">
        <f t="shared" si="158"/>
        <v>390568.66399999999</v>
      </c>
      <c r="M224" s="87">
        <f t="shared" si="158"/>
        <v>390568.66399999999</v>
      </c>
      <c r="N224" s="87">
        <f t="shared" si="158"/>
        <v>390568.66399999999</v>
      </c>
      <c r="O224" s="87">
        <f t="shared" si="158"/>
        <v>390568.66399999999</v>
      </c>
      <c r="P224" s="87">
        <f t="shared" si="158"/>
        <v>390568.66399999999</v>
      </c>
      <c r="Q224" s="3"/>
    </row>
    <row r="225" spans="3:17">
      <c r="C225" s="2" t="s">
        <v>108</v>
      </c>
      <c r="D225" s="379">
        <f t="shared" ref="D225:I225" si="159">D226-D223-D224</f>
        <v>803519</v>
      </c>
      <c r="E225" s="379">
        <f t="shared" si="159"/>
        <v>1444185</v>
      </c>
      <c r="F225" s="379">
        <f t="shared" si="159"/>
        <v>1290262</v>
      </c>
      <c r="G225" s="379">
        <f t="shared" si="159"/>
        <v>1682807</v>
      </c>
      <c r="H225" s="379">
        <f t="shared" si="159"/>
        <v>1703690.2</v>
      </c>
      <c r="I225" s="379">
        <f t="shared" si="159"/>
        <v>1575088.8680000002</v>
      </c>
      <c r="J225" s="379">
        <f t="shared" ref="J225:O225" si="160">I225</f>
        <v>1575088.8680000002</v>
      </c>
      <c r="K225" s="379">
        <f t="shared" si="160"/>
        <v>1575088.8680000002</v>
      </c>
      <c r="L225" s="379">
        <f t="shared" si="160"/>
        <v>1575088.8680000002</v>
      </c>
      <c r="M225" s="379">
        <f t="shared" si="160"/>
        <v>1575088.8680000002</v>
      </c>
      <c r="N225" s="379">
        <f t="shared" si="160"/>
        <v>1575088.8680000002</v>
      </c>
      <c r="O225" s="379">
        <f t="shared" si="160"/>
        <v>1575088.8680000002</v>
      </c>
      <c r="P225" s="379">
        <v>1724449</v>
      </c>
      <c r="Q225" s="3"/>
    </row>
    <row r="226" spans="3:17">
      <c r="C226" s="3" t="s">
        <v>112</v>
      </c>
      <c r="D226" s="266">
        <v>3153619</v>
      </c>
      <c r="E226" s="266">
        <v>3819310</v>
      </c>
      <c r="F226" s="266">
        <v>3511486</v>
      </c>
      <c r="G226" s="266">
        <v>4120848</v>
      </c>
      <c r="H226" s="266">
        <v>4110699</v>
      </c>
      <c r="I226" s="266">
        <v>4102623</v>
      </c>
      <c r="J226" s="87">
        <f t="shared" ref="J226:P226" si="161">SUM(J223:J225)</f>
        <v>4138599.1059677019</v>
      </c>
      <c r="K226" s="87">
        <f t="shared" si="161"/>
        <v>4148638.487986533</v>
      </c>
      <c r="L226" s="87">
        <f t="shared" si="161"/>
        <v>4138260.5788229504</v>
      </c>
      <c r="M226" s="87">
        <f t="shared" si="161"/>
        <v>4132196.9392193989</v>
      </c>
      <c r="N226" s="87">
        <f t="shared" si="161"/>
        <v>4106366.0512651294</v>
      </c>
      <c r="O226" s="87">
        <f t="shared" si="161"/>
        <v>4060871.9107964877</v>
      </c>
      <c r="P226" s="87">
        <f t="shared" si="161"/>
        <v>4145161.4856454185</v>
      </c>
      <c r="Q226" s="3"/>
    </row>
    <row r="227" spans="3:17">
      <c r="C227" s="3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3"/>
    </row>
    <row r="228" spans="3:17">
      <c r="C228" s="3" t="s">
        <v>113</v>
      </c>
      <c r="D228" s="87">
        <f t="shared" ref="D228:P228" si="162">D221+D226</f>
        <v>3964215</v>
      </c>
      <c r="E228" s="87">
        <f t="shared" si="162"/>
        <v>5169493</v>
      </c>
      <c r="F228" s="87">
        <f t="shared" si="162"/>
        <v>4888445</v>
      </c>
      <c r="G228" s="87">
        <f>G221+G226</f>
        <v>5418228</v>
      </c>
      <c r="H228" s="87">
        <f>H221+H226</f>
        <v>5595345</v>
      </c>
      <c r="I228" s="87">
        <f t="shared" si="162"/>
        <v>5698688</v>
      </c>
      <c r="J228" s="87">
        <f t="shared" si="162"/>
        <v>5734664.1059677023</v>
      </c>
      <c r="K228" s="87">
        <f t="shared" si="162"/>
        <v>5744703.487986533</v>
      </c>
      <c r="L228" s="87">
        <f t="shared" si="162"/>
        <v>5734325.5788229499</v>
      </c>
      <c r="M228" s="87">
        <f t="shared" si="162"/>
        <v>5728261.9392193984</v>
      </c>
      <c r="N228" s="87">
        <f t="shared" si="162"/>
        <v>5702431.0512651298</v>
      </c>
      <c r="O228" s="87">
        <f t="shared" si="162"/>
        <v>5656936.9107964877</v>
      </c>
      <c r="P228" s="87">
        <f t="shared" si="162"/>
        <v>5741226.485645419</v>
      </c>
      <c r="Q228" s="3"/>
    </row>
    <row r="229" spans="3:17">
      <c r="C229" s="3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3"/>
    </row>
    <row r="230" spans="3:17">
      <c r="C230" s="3" t="s">
        <v>114</v>
      </c>
      <c r="D230" s="266">
        <v>553734</v>
      </c>
      <c r="E230" s="266">
        <v>660395</v>
      </c>
      <c r="F230" s="266">
        <v>662449</v>
      </c>
      <c r="G230" s="266">
        <v>746239</v>
      </c>
      <c r="H230" s="266">
        <v>694816.6</v>
      </c>
      <c r="I230" s="266">
        <v>791220.46699999995</v>
      </c>
      <c r="J230" s="87">
        <f t="shared" ref="J230:P230" si="163">I230</f>
        <v>791220.46699999995</v>
      </c>
      <c r="K230" s="87">
        <f t="shared" si="163"/>
        <v>791220.46699999995</v>
      </c>
      <c r="L230" s="87">
        <f t="shared" si="163"/>
        <v>791220.46699999995</v>
      </c>
      <c r="M230" s="87">
        <f t="shared" si="163"/>
        <v>791220.46699999995</v>
      </c>
      <c r="N230" s="87">
        <f t="shared" si="163"/>
        <v>791220.46699999995</v>
      </c>
      <c r="O230" s="87">
        <f t="shared" si="163"/>
        <v>791220.46699999995</v>
      </c>
      <c r="P230" s="87">
        <f t="shared" si="163"/>
        <v>791220.46699999995</v>
      </c>
      <c r="Q230" s="3"/>
    </row>
    <row r="231" spans="3:17">
      <c r="C231" s="3" t="s">
        <v>115</v>
      </c>
      <c r="D231" s="266">
        <v>20618</v>
      </c>
      <c r="E231" s="266">
        <f>28814</f>
        <v>28814</v>
      </c>
      <c r="F231" s="266">
        <v>22734</v>
      </c>
      <c r="G231" s="266">
        <v>196857</v>
      </c>
      <c r="H231" s="266">
        <v>275135.5</v>
      </c>
      <c r="I231" s="266">
        <v>337854.55200000003</v>
      </c>
      <c r="J231" s="87">
        <f t="shared" ref="J231:P231" si="164">I231</f>
        <v>337854.55200000003</v>
      </c>
      <c r="K231" s="87">
        <f t="shared" si="164"/>
        <v>337854.55200000003</v>
      </c>
      <c r="L231" s="87">
        <f t="shared" si="164"/>
        <v>337854.55200000003</v>
      </c>
      <c r="M231" s="87">
        <f t="shared" si="164"/>
        <v>337854.55200000003</v>
      </c>
      <c r="N231" s="87">
        <f t="shared" si="164"/>
        <v>337854.55200000003</v>
      </c>
      <c r="O231" s="87">
        <f t="shared" si="164"/>
        <v>337854.55200000003</v>
      </c>
      <c r="P231" s="87">
        <f t="shared" si="164"/>
        <v>337854.55200000003</v>
      </c>
      <c r="Q231" s="3"/>
    </row>
    <row r="232" spans="3:17">
      <c r="C232" s="3" t="s">
        <v>2615</v>
      </c>
      <c r="D232" s="266">
        <v>0</v>
      </c>
      <c r="E232" s="266">
        <f>68943</f>
        <v>68943</v>
      </c>
      <c r="F232" s="266">
        <v>75453</v>
      </c>
      <c r="G232" s="266">
        <v>105314</v>
      </c>
      <c r="H232" s="266">
        <v>109048.2</v>
      </c>
      <c r="I232" s="266">
        <v>120979.89200000001</v>
      </c>
      <c r="J232" s="87">
        <f t="shared" ref="J232:P232" si="165">I232</f>
        <v>120979.89200000001</v>
      </c>
      <c r="K232" s="87">
        <f t="shared" si="165"/>
        <v>120979.89200000001</v>
      </c>
      <c r="L232" s="87">
        <f t="shared" si="165"/>
        <v>120979.89200000001</v>
      </c>
      <c r="M232" s="87">
        <f t="shared" si="165"/>
        <v>120979.89200000001</v>
      </c>
      <c r="N232" s="87">
        <f t="shared" si="165"/>
        <v>120979.89200000001</v>
      </c>
      <c r="O232" s="87">
        <f t="shared" si="165"/>
        <v>120979.89200000001</v>
      </c>
      <c r="P232" s="87">
        <f t="shared" si="165"/>
        <v>120979.89200000001</v>
      </c>
      <c r="Q232" s="3"/>
    </row>
    <row r="233" spans="3:17">
      <c r="C233" s="2" t="s">
        <v>20</v>
      </c>
      <c r="D233" s="379">
        <f t="shared" ref="D233:I233" si="166">D234-D230-D232-D231</f>
        <v>84391</v>
      </c>
      <c r="E233" s="379">
        <f t="shared" si="166"/>
        <v>132849</v>
      </c>
      <c r="F233" s="379">
        <f t="shared" si="166"/>
        <v>53521</v>
      </c>
      <c r="G233" s="379">
        <f t="shared" si="166"/>
        <v>111092</v>
      </c>
      <c r="H233" s="379">
        <f t="shared" si="166"/>
        <v>53019.700000000012</v>
      </c>
      <c r="I233" s="379">
        <f t="shared" si="166"/>
        <v>86938.089000000036</v>
      </c>
      <c r="J233" s="379">
        <f t="shared" ref="J233:P233" si="167">I233</f>
        <v>86938.089000000036</v>
      </c>
      <c r="K233" s="379">
        <f t="shared" si="167"/>
        <v>86938.089000000036</v>
      </c>
      <c r="L233" s="379">
        <f t="shared" si="167"/>
        <v>86938.089000000036</v>
      </c>
      <c r="M233" s="379">
        <f t="shared" si="167"/>
        <v>86938.089000000036</v>
      </c>
      <c r="N233" s="379">
        <f t="shared" si="167"/>
        <v>86938.089000000036</v>
      </c>
      <c r="O233" s="379">
        <f t="shared" si="167"/>
        <v>86938.089000000036</v>
      </c>
      <c r="P233" s="379">
        <f t="shared" si="167"/>
        <v>86938.089000000036</v>
      </c>
      <c r="Q233" s="3"/>
    </row>
    <row r="234" spans="3:17">
      <c r="C234" s="3" t="s">
        <v>116</v>
      </c>
      <c r="D234" s="266">
        <v>658743</v>
      </c>
      <c r="E234" s="266">
        <v>891001</v>
      </c>
      <c r="F234" s="266">
        <v>814157</v>
      </c>
      <c r="G234" s="266">
        <v>1159502</v>
      </c>
      <c r="H234" s="266">
        <v>1132020</v>
      </c>
      <c r="I234" s="266">
        <v>1336993</v>
      </c>
      <c r="J234" s="87">
        <f t="shared" ref="J234:P234" si="168">SUM(J230:J233)</f>
        <v>1336993</v>
      </c>
      <c r="K234" s="87">
        <f t="shared" si="168"/>
        <v>1336993</v>
      </c>
      <c r="L234" s="87">
        <f t="shared" si="168"/>
        <v>1336993</v>
      </c>
      <c r="M234" s="87">
        <f t="shared" si="168"/>
        <v>1336993</v>
      </c>
      <c r="N234" s="87">
        <f t="shared" si="168"/>
        <v>1336993</v>
      </c>
      <c r="O234" s="87">
        <f t="shared" si="168"/>
        <v>1336993</v>
      </c>
      <c r="P234" s="87">
        <f t="shared" si="168"/>
        <v>1336993</v>
      </c>
      <c r="Q234" s="3"/>
    </row>
    <row r="235" spans="3:17">
      <c r="C235" s="3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3"/>
    </row>
    <row r="236" spans="3:17">
      <c r="C236" s="3" t="s">
        <v>117</v>
      </c>
      <c r="D236" s="266">
        <v>1794896</v>
      </c>
      <c r="E236" s="266">
        <f>1969001</f>
        <v>1969001</v>
      </c>
      <c r="F236" s="266">
        <v>1856454</v>
      </c>
      <c r="G236" s="266">
        <v>1935511</v>
      </c>
      <c r="H236" s="266">
        <v>1945802</v>
      </c>
      <c r="I236" s="266">
        <v>1775723.807</v>
      </c>
      <c r="J236" s="87">
        <f>J101+J218-J232-J237</f>
        <v>1216752.3662754241</v>
      </c>
      <c r="K236" s="87">
        <f t="shared" ref="K236:P236" si="169">K101+K218-K232-K237</f>
        <v>1318135.2316382183</v>
      </c>
      <c r="L236" s="87">
        <f t="shared" si="169"/>
        <v>1364988.0665647681</v>
      </c>
      <c r="M236" s="87">
        <f t="shared" si="169"/>
        <v>1387420.2930417154</v>
      </c>
      <c r="N236" s="87">
        <f t="shared" si="169"/>
        <v>1382822.2181668575</v>
      </c>
      <c r="O236" s="87">
        <f t="shared" si="169"/>
        <v>1349902.5691482793</v>
      </c>
      <c r="P236" s="87">
        <f t="shared" si="169"/>
        <v>1287329.7317293463</v>
      </c>
      <c r="Q236" s="3"/>
    </row>
    <row r="237" spans="3:17">
      <c r="C237" s="3" t="s">
        <v>2615</v>
      </c>
      <c r="D237" s="266"/>
      <c r="E237" s="266">
        <f>432945</f>
        <v>432945</v>
      </c>
      <c r="F237" s="266">
        <v>428774</v>
      </c>
      <c r="G237" s="266">
        <v>486103</v>
      </c>
      <c r="H237" s="266">
        <v>500043</v>
      </c>
      <c r="I237" s="266">
        <v>471903.07900000003</v>
      </c>
      <c r="J237" s="87">
        <f t="shared" ref="J237:P237" si="170">I237</f>
        <v>471903.07900000003</v>
      </c>
      <c r="K237" s="87">
        <f t="shared" si="170"/>
        <v>471903.07900000003</v>
      </c>
      <c r="L237" s="87">
        <f t="shared" si="170"/>
        <v>471903.07900000003</v>
      </c>
      <c r="M237" s="87">
        <f t="shared" si="170"/>
        <v>471903.07900000003</v>
      </c>
      <c r="N237" s="87">
        <f t="shared" si="170"/>
        <v>471903.07900000003</v>
      </c>
      <c r="O237" s="87">
        <f t="shared" si="170"/>
        <v>471903.07900000003</v>
      </c>
      <c r="P237" s="87">
        <f t="shared" si="170"/>
        <v>471903.07900000003</v>
      </c>
      <c r="Q237" s="3"/>
    </row>
    <row r="238" spans="3:17">
      <c r="C238" s="3" t="s">
        <v>118</v>
      </c>
      <c r="D238" s="266">
        <v>8446</v>
      </c>
      <c r="E238" s="266">
        <v>1841</v>
      </c>
      <c r="F238" s="266">
        <v>1480</v>
      </c>
      <c r="G238" s="266">
        <v>1540</v>
      </c>
      <c r="H238" s="266">
        <v>0</v>
      </c>
      <c r="I238" s="266">
        <v>0</v>
      </c>
      <c r="J238" s="87">
        <f t="shared" ref="J238:P238" si="171">I238</f>
        <v>0</v>
      </c>
      <c r="K238" s="87">
        <f t="shared" si="171"/>
        <v>0</v>
      </c>
      <c r="L238" s="87">
        <f t="shared" si="171"/>
        <v>0</v>
      </c>
      <c r="M238" s="87">
        <f t="shared" si="171"/>
        <v>0</v>
      </c>
      <c r="N238" s="87">
        <f t="shared" si="171"/>
        <v>0</v>
      </c>
      <c r="O238" s="87">
        <f t="shared" si="171"/>
        <v>0</v>
      </c>
      <c r="P238" s="87">
        <f t="shared" si="171"/>
        <v>0</v>
      </c>
      <c r="Q238" s="3"/>
    </row>
    <row r="239" spans="3:17">
      <c r="C239" s="2" t="s">
        <v>20</v>
      </c>
      <c r="D239" s="379">
        <f t="shared" ref="D239:I239" si="172">D240-D236-D238-D237</f>
        <v>135708</v>
      </c>
      <c r="E239" s="379">
        <f t="shared" si="172"/>
        <v>266031</v>
      </c>
      <c r="F239" s="379">
        <f t="shared" si="172"/>
        <v>279089</v>
      </c>
      <c r="G239" s="379">
        <f t="shared" si="172"/>
        <v>332527</v>
      </c>
      <c r="H239" s="379">
        <f t="shared" si="172"/>
        <v>462965.5</v>
      </c>
      <c r="I239" s="379">
        <f t="shared" si="172"/>
        <v>438615.11399999994</v>
      </c>
      <c r="J239" s="379">
        <v>977571</v>
      </c>
      <c r="K239" s="379">
        <v>819244</v>
      </c>
      <c r="L239" s="379">
        <v>652999</v>
      </c>
      <c r="M239" s="379">
        <v>478443</v>
      </c>
      <c r="N239" s="379">
        <v>295159</v>
      </c>
      <c r="O239" s="379">
        <v>102710</v>
      </c>
      <c r="P239" s="379">
        <v>50000</v>
      </c>
      <c r="Q239" s="3"/>
    </row>
    <row r="240" spans="3:17">
      <c r="C240" s="3" t="s">
        <v>119</v>
      </c>
      <c r="D240" s="266">
        <v>1939050</v>
      </c>
      <c r="E240" s="266">
        <v>2669818</v>
      </c>
      <c r="F240" s="266">
        <v>2565797</v>
      </c>
      <c r="G240" s="266">
        <v>2755681</v>
      </c>
      <c r="H240" s="266">
        <v>2908810.5</v>
      </c>
      <c r="I240" s="266">
        <v>2686242</v>
      </c>
      <c r="J240" s="87">
        <f t="shared" ref="J240:P240" si="173">SUM(J236:J239)</f>
        <v>2666226.445275424</v>
      </c>
      <c r="K240" s="87">
        <f t="shared" si="173"/>
        <v>2609282.3106382182</v>
      </c>
      <c r="L240" s="87">
        <f t="shared" si="173"/>
        <v>2489890.145564768</v>
      </c>
      <c r="M240" s="87">
        <f t="shared" si="173"/>
        <v>2337766.3720417153</v>
      </c>
      <c r="N240" s="87">
        <f t="shared" si="173"/>
        <v>2149884.2971668574</v>
      </c>
      <c r="O240" s="87">
        <f t="shared" si="173"/>
        <v>1924515.6481482792</v>
      </c>
      <c r="P240" s="87">
        <f t="shared" si="173"/>
        <v>1809232.8107293462</v>
      </c>
      <c r="Q240" s="3"/>
    </row>
    <row r="241" spans="3:17">
      <c r="C241" s="3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3"/>
    </row>
    <row r="242" spans="3:17">
      <c r="C242" s="3" t="s">
        <v>120</v>
      </c>
      <c r="D242" s="266">
        <v>1366422</v>
      </c>
      <c r="E242" s="266">
        <v>1608674</v>
      </c>
      <c r="F242" s="266">
        <v>1508490</v>
      </c>
      <c r="G242" s="266">
        <v>1503045</v>
      </c>
      <c r="H242" s="266">
        <v>1554515.7</v>
      </c>
      <c r="I242" s="266">
        <v>1675453</v>
      </c>
      <c r="J242" s="87">
        <f t="shared" ref="J242:P242" si="174">I242+J78-J95</f>
        <v>1731444.1686922777</v>
      </c>
      <c r="K242" s="87">
        <f t="shared" si="174"/>
        <v>1798428.505348315</v>
      </c>
      <c r="L242" s="87">
        <f t="shared" si="174"/>
        <v>1907441.9722581822</v>
      </c>
      <c r="M242" s="87">
        <f t="shared" si="174"/>
        <v>2053502.5277276838</v>
      </c>
      <c r="N242" s="87">
        <f t="shared" si="174"/>
        <v>2215553.9572757725</v>
      </c>
      <c r="O242" s="87">
        <f t="shared" si="174"/>
        <v>2395427.9205845841</v>
      </c>
      <c r="P242" s="87">
        <f t="shared" si="174"/>
        <v>2595001.0783492671</v>
      </c>
      <c r="Q242" s="3"/>
    </row>
    <row r="243" spans="3:17">
      <c r="C243" s="3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3"/>
    </row>
    <row r="244" spans="3:17">
      <c r="C244" s="3" t="s">
        <v>121</v>
      </c>
      <c r="D244" s="87">
        <f t="shared" ref="D244:P244" si="175">D234+D240+D242</f>
        <v>3964215</v>
      </c>
      <c r="E244" s="87">
        <f t="shared" si="175"/>
        <v>5169493</v>
      </c>
      <c r="F244" s="87">
        <f t="shared" si="175"/>
        <v>4888444</v>
      </c>
      <c r="G244" s="87">
        <f t="shared" si="175"/>
        <v>5418228</v>
      </c>
      <c r="H244" s="87">
        <f t="shared" si="175"/>
        <v>5595346.2000000002</v>
      </c>
      <c r="I244" s="87">
        <f t="shared" si="175"/>
        <v>5698688</v>
      </c>
      <c r="J244" s="87">
        <f t="shared" si="175"/>
        <v>5734663.6139677018</v>
      </c>
      <c r="K244" s="87">
        <f t="shared" si="175"/>
        <v>5744703.8159865327</v>
      </c>
      <c r="L244" s="87">
        <f t="shared" si="175"/>
        <v>5734325.1178229507</v>
      </c>
      <c r="M244" s="87">
        <f t="shared" si="175"/>
        <v>5728261.8997693993</v>
      </c>
      <c r="N244" s="87">
        <f t="shared" si="175"/>
        <v>5702431.2544426303</v>
      </c>
      <c r="O244" s="87">
        <f t="shared" si="175"/>
        <v>5656936.5687328633</v>
      </c>
      <c r="P244" s="87">
        <f t="shared" si="175"/>
        <v>5741226.8890786134</v>
      </c>
      <c r="Q244" s="3"/>
    </row>
    <row r="245" spans="3:17">
      <c r="C245" s="3" t="s">
        <v>122</v>
      </c>
      <c r="D245" s="87">
        <f t="shared" ref="D245:P245" si="176">D244-D228</f>
        <v>0</v>
      </c>
      <c r="E245" s="87">
        <f t="shared" si="176"/>
        <v>0</v>
      </c>
      <c r="F245" s="87">
        <f t="shared" si="176"/>
        <v>-1</v>
      </c>
      <c r="G245" s="87">
        <f t="shared" si="176"/>
        <v>0</v>
      </c>
      <c r="H245" s="87">
        <f>H244-H228</f>
        <v>1.2000000001862645</v>
      </c>
      <c r="I245" s="87">
        <f t="shared" si="176"/>
        <v>0</v>
      </c>
      <c r="J245" s="87">
        <f t="shared" si="176"/>
        <v>-0.49200000055134296</v>
      </c>
      <c r="K245" s="87">
        <f t="shared" si="176"/>
        <v>0.32799999974668026</v>
      </c>
      <c r="L245" s="87">
        <f t="shared" si="176"/>
        <v>-0.4609999991953373</v>
      </c>
      <c r="M245" s="87">
        <f t="shared" si="176"/>
        <v>-3.9449999108910561E-2</v>
      </c>
      <c r="N245" s="87">
        <f t="shared" si="176"/>
        <v>0.20317750051617622</v>
      </c>
      <c r="O245" s="87">
        <f t="shared" si="176"/>
        <v>-0.34206362441182137</v>
      </c>
      <c r="P245" s="87">
        <f t="shared" si="176"/>
        <v>0.40343319438397884</v>
      </c>
      <c r="Q245" s="3"/>
    </row>
    <row r="246" spans="3:17">
      <c r="C246" s="3" t="s">
        <v>2613</v>
      </c>
      <c r="D246" s="87">
        <f>D236+D232-D218</f>
        <v>1722648</v>
      </c>
      <c r="E246" s="87">
        <f>E236+E232+E237+E231-E218</f>
        <v>2052291</v>
      </c>
      <c r="F246" s="87">
        <f>F236+F232+F237+F231-F218</f>
        <v>2180934</v>
      </c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3"/>
    </row>
    <row r="247" spans="3:17">
      <c r="C247" s="3" t="s">
        <v>2614</v>
      </c>
      <c r="D247" s="87"/>
      <c r="E247" s="87">
        <f>E236+E231-E218</f>
        <v>1550403</v>
      </c>
      <c r="F247" s="87">
        <f>F236+F231-F218</f>
        <v>1676707</v>
      </c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3"/>
    </row>
    <row r="248" spans="3:17">
      <c r="C248" s="3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3"/>
    </row>
    <row r="249" spans="3:17">
      <c r="C249" s="3" t="s">
        <v>123</v>
      </c>
      <c r="D249" s="87">
        <f>(D219+D220+D230+D233)-(T219+T220+T230+T233)</f>
        <v>1376473</v>
      </c>
      <c r="E249" s="87">
        <f t="shared" ref="E249:P249" si="177">(E219+E220+E230+E233)-(D219+D220+D230+D233)</f>
        <v>319542</v>
      </c>
      <c r="F249" s="87">
        <f t="shared" si="177"/>
        <v>194433</v>
      </c>
      <c r="G249" s="87">
        <f>(G219+G220+G230+G233)-(F219+F220+F230+F233)</f>
        <v>155658</v>
      </c>
      <c r="H249" s="87">
        <f t="shared" si="177"/>
        <v>-166.00000000023283</v>
      </c>
      <c r="I249" s="87">
        <f t="shared" si="177"/>
        <v>-102578.4439999999</v>
      </c>
      <c r="J249" s="87">
        <f t="shared" si="177"/>
        <v>0</v>
      </c>
      <c r="K249" s="87">
        <f t="shared" si="177"/>
        <v>0</v>
      </c>
      <c r="L249" s="87">
        <f t="shared" si="177"/>
        <v>0</v>
      </c>
      <c r="M249" s="87">
        <f t="shared" si="177"/>
        <v>0</v>
      </c>
      <c r="N249" s="87">
        <f t="shared" si="177"/>
        <v>0</v>
      </c>
      <c r="O249" s="87">
        <f t="shared" si="177"/>
        <v>0</v>
      </c>
      <c r="P249" s="87">
        <f t="shared" si="177"/>
        <v>0</v>
      </c>
      <c r="Q249" s="3"/>
    </row>
    <row r="250" spans="3:17">
      <c r="L250" s="3"/>
      <c r="M250" s="3"/>
      <c r="N250" s="3"/>
      <c r="O250" s="3"/>
      <c r="P250" s="3"/>
      <c r="Q250" s="3"/>
    </row>
    <row r="251" spans="3:17">
      <c r="C251" s="95" t="s">
        <v>2557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3:17">
      <c r="C252" s="95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3:17">
      <c r="C253" s="367" t="s">
        <v>2592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3:17">
      <c r="C254" s="95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3:17">
      <c r="C255" s="3" t="s">
        <v>2530</v>
      </c>
      <c r="E255" s="3">
        <v>411000</v>
      </c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3:17">
      <c r="C256" s="2" t="s">
        <v>2518</v>
      </c>
      <c r="D256" s="108"/>
      <c r="E256" s="273">
        <v>165000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3:18">
      <c r="C257" s="3" t="s">
        <v>2593</v>
      </c>
      <c r="D257" s="3"/>
      <c r="E257" s="3">
        <f>E255-E256</f>
        <v>246000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3:18">
      <c r="C258" s="364" t="s">
        <v>2560</v>
      </c>
      <c r="D258" s="442"/>
      <c r="E258" s="442">
        <f>E257*1000/Master!E81</f>
        <v>820000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3:18">
      <c r="C259" s="3" t="s">
        <v>2561</v>
      </c>
      <c r="D259" s="11"/>
      <c r="E259" s="11">
        <f>E257/Master!E25</f>
        <v>0.42900192527693293</v>
      </c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3:18">
      <c r="C260" s="3"/>
      <c r="D260" s="3"/>
      <c r="E260" s="3"/>
      <c r="F260" s="3">
        <v>1</v>
      </c>
      <c r="G260" s="3">
        <f t="shared" ref="G260:O260" si="178">F260+1</f>
        <v>2</v>
      </c>
      <c r="H260" s="3">
        <f t="shared" si="178"/>
        <v>3</v>
      </c>
      <c r="I260" s="3">
        <f t="shared" si="178"/>
        <v>4</v>
      </c>
      <c r="J260" s="3">
        <f t="shared" si="178"/>
        <v>5</v>
      </c>
      <c r="K260" s="3">
        <f t="shared" si="178"/>
        <v>6</v>
      </c>
      <c r="L260" s="3">
        <f t="shared" si="178"/>
        <v>7</v>
      </c>
      <c r="M260" s="3">
        <f t="shared" si="178"/>
        <v>8</v>
      </c>
      <c r="N260" s="3">
        <f t="shared" si="178"/>
        <v>9</v>
      </c>
      <c r="O260" s="3">
        <f t="shared" si="178"/>
        <v>10</v>
      </c>
      <c r="P260" s="3"/>
      <c r="Q260" s="3"/>
    </row>
    <row r="261" spans="3:18">
      <c r="C261" s="3" t="s">
        <v>2594</v>
      </c>
      <c r="D261" s="3"/>
      <c r="E261" s="3"/>
      <c r="F261" s="7">
        <v>27000</v>
      </c>
      <c r="G261" s="7">
        <f>(1+G262)*F261</f>
        <v>27810</v>
      </c>
      <c r="H261" s="7">
        <f>(1+H262)*G261</f>
        <v>28644.3</v>
      </c>
      <c r="I261" s="7">
        <f t="shared" ref="I261:O261" si="179">(1+I262)*H261</f>
        <v>29503.629000000001</v>
      </c>
      <c r="J261" s="7">
        <f t="shared" si="179"/>
        <v>30388.737870000001</v>
      </c>
      <c r="K261" s="7">
        <f t="shared" si="179"/>
        <v>31300.400006100001</v>
      </c>
      <c r="L261" s="7">
        <f t="shared" si="179"/>
        <v>32239.412006283001</v>
      </c>
      <c r="M261" s="7">
        <f t="shared" si="179"/>
        <v>33206.594366471494</v>
      </c>
      <c r="N261" s="7">
        <f t="shared" si="179"/>
        <v>34202.792197465642</v>
      </c>
      <c r="O261" s="7">
        <f t="shared" si="179"/>
        <v>35228.875963389612</v>
      </c>
      <c r="P261" s="3"/>
      <c r="Q261" s="3"/>
    </row>
    <row r="262" spans="3:18">
      <c r="C262" s="3" t="s">
        <v>2595</v>
      </c>
      <c r="D262" s="3"/>
      <c r="E262" s="3"/>
      <c r="F262" s="3"/>
      <c r="G262" s="5">
        <v>0.03</v>
      </c>
      <c r="H262" s="5">
        <v>0.03</v>
      </c>
      <c r="I262" s="5">
        <v>0.03</v>
      </c>
      <c r="J262" s="5">
        <v>0.03</v>
      </c>
      <c r="K262" s="5">
        <v>0.03</v>
      </c>
      <c r="L262" s="5">
        <v>0.03</v>
      </c>
      <c r="M262" s="5">
        <v>0.03</v>
      </c>
      <c r="N262" s="5">
        <v>0.03</v>
      </c>
      <c r="O262" s="5">
        <v>0.03</v>
      </c>
      <c r="P262" s="3"/>
      <c r="Q262" s="3"/>
      <c r="R262" s="3"/>
    </row>
    <row r="263" spans="3:18">
      <c r="C263" s="3" t="s">
        <v>2585</v>
      </c>
      <c r="D263" s="3"/>
      <c r="E263" s="3"/>
      <c r="F263" s="7">
        <f>F261*0.73</f>
        <v>19710</v>
      </c>
      <c r="G263" s="7">
        <f t="shared" ref="G263:O263" si="180">G261*0.73</f>
        <v>20301.3</v>
      </c>
      <c r="H263" s="7">
        <f t="shared" si="180"/>
        <v>20910.339</v>
      </c>
      <c r="I263" s="7">
        <f t="shared" si="180"/>
        <v>21537.649170000001</v>
      </c>
      <c r="J263" s="7">
        <f t="shared" si="180"/>
        <v>22183.778645099999</v>
      </c>
      <c r="K263" s="7">
        <f t="shared" si="180"/>
        <v>22849.292004453</v>
      </c>
      <c r="L263" s="7">
        <f t="shared" si="180"/>
        <v>23534.770764586588</v>
      </c>
      <c r="M263" s="7">
        <f t="shared" si="180"/>
        <v>24240.813887524189</v>
      </c>
      <c r="N263" s="7">
        <f t="shared" si="180"/>
        <v>24968.038304149919</v>
      </c>
      <c r="O263" s="7">
        <f t="shared" si="180"/>
        <v>25717.079453274415</v>
      </c>
      <c r="P263" s="3"/>
      <c r="Q263" s="3"/>
      <c r="R263" s="3"/>
    </row>
    <row r="264" spans="3:18">
      <c r="C264" s="3" t="s">
        <v>2596</v>
      </c>
      <c r="D264" s="11">
        <f>Master!E255/F261</f>
        <v>15.222222222222221</v>
      </c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3:18">
      <c r="C265" s="151" t="s">
        <v>2599</v>
      </c>
      <c r="D265" s="99">
        <f>NPV(8%, F261:O261)</f>
        <v>203853.60966102628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3:18">
      <c r="C266" s="151" t="s">
        <v>130</v>
      </c>
      <c r="D266" s="7">
        <f>SOP!C36*O263</f>
        <v>327835.80155872792</v>
      </c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3:18">
      <c r="C267" s="151" t="s">
        <v>131</v>
      </c>
      <c r="D267" s="7">
        <f>D266/(1+SOP!C33)^10</f>
        <v>138551.28079025084</v>
      </c>
      <c r="E267" s="3" t="s">
        <v>2531</v>
      </c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3:18">
      <c r="C268" s="151" t="s">
        <v>2597</v>
      </c>
      <c r="D268" s="7">
        <f>D265+D267</f>
        <v>342404.89045127714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3:18">
      <c r="C269" s="151" t="s">
        <v>2598</v>
      </c>
      <c r="D269" s="7">
        <f>D268-E256</f>
        <v>177404.89045127714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3:18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3:18">
      <c r="C271" s="367" t="s">
        <v>2578</v>
      </c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Q271" s="3"/>
      <c r="R271" s="3"/>
    </row>
    <row r="272" spans="3:18">
      <c r="C272" s="367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Q272" s="3"/>
      <c r="R272" s="3"/>
    </row>
    <row r="273" spans="3:18">
      <c r="C273" s="3" t="s">
        <v>2580</v>
      </c>
      <c r="D273" s="3"/>
      <c r="E273" s="3"/>
      <c r="F273" s="87">
        <f>'New Ints'!G83+'New Ints'!H83+'New Ints'!I83+'New Ints'!J83</f>
        <v>83158</v>
      </c>
      <c r="G273" s="3"/>
      <c r="H273" s="3"/>
      <c r="I273" s="3"/>
      <c r="J273" s="3"/>
      <c r="K273" s="3"/>
      <c r="L273" s="3"/>
      <c r="M273" s="3"/>
      <c r="N273" s="3"/>
      <c r="O273" s="3"/>
      <c r="Q273" s="3"/>
      <c r="R273" s="3"/>
    </row>
    <row r="274" spans="3:18">
      <c r="C274" s="3" t="s">
        <v>2583</v>
      </c>
      <c r="D274" s="3"/>
      <c r="E274" s="3"/>
      <c r="F274" s="3">
        <v>5</v>
      </c>
      <c r="G274" s="3"/>
      <c r="H274" s="3"/>
      <c r="I274" s="3"/>
      <c r="J274" s="3"/>
      <c r="K274" s="3"/>
      <c r="L274" s="3"/>
      <c r="M274" s="3"/>
      <c r="N274" s="3"/>
      <c r="O274" s="3"/>
      <c r="Q274" s="3"/>
      <c r="R274" s="3"/>
    </row>
    <row r="275" spans="3:18">
      <c r="C275" s="3" t="s">
        <v>1045</v>
      </c>
      <c r="D275" s="3"/>
      <c r="E275" s="3"/>
      <c r="F275" s="3">
        <f>F273*F274</f>
        <v>415790</v>
      </c>
      <c r="G275" s="3"/>
      <c r="H275" s="3"/>
      <c r="I275" s="3"/>
      <c r="J275" s="3"/>
      <c r="K275" s="3"/>
      <c r="L275" s="3"/>
      <c r="M275" s="3"/>
      <c r="N275" s="3"/>
      <c r="O275" s="3"/>
      <c r="Q275" s="3"/>
      <c r="R275" s="3"/>
    </row>
    <row r="276" spans="3:18">
      <c r="C276" s="3" t="s">
        <v>2581</v>
      </c>
      <c r="D276" s="3"/>
      <c r="E276" s="3"/>
      <c r="F276" s="3">
        <v>332100</v>
      </c>
      <c r="G276" s="3"/>
      <c r="H276" s="3"/>
      <c r="I276" s="3"/>
      <c r="J276" s="3"/>
      <c r="K276" s="3"/>
      <c r="L276" s="3"/>
      <c r="M276" s="3"/>
      <c r="N276" s="3"/>
      <c r="O276" s="3"/>
      <c r="Q276" s="3"/>
      <c r="R276" s="3"/>
    </row>
    <row r="277" spans="3:18">
      <c r="C277" s="3" t="s">
        <v>2584</v>
      </c>
      <c r="D277" s="3"/>
      <c r="E277" s="3"/>
      <c r="F277" s="3">
        <f>F275-F276</f>
        <v>83690</v>
      </c>
      <c r="G277" s="7">
        <f>F277/300</f>
        <v>278.96666666666664</v>
      </c>
      <c r="H277" s="3"/>
      <c r="I277" s="3"/>
      <c r="J277" s="3"/>
      <c r="K277" s="3"/>
      <c r="L277" s="3"/>
      <c r="M277" s="3"/>
      <c r="N277" s="3"/>
      <c r="O277" s="3"/>
      <c r="Q277" s="3"/>
      <c r="R277" s="3"/>
    </row>
    <row r="278" spans="3:18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Q278" s="3"/>
      <c r="R278" s="3"/>
    </row>
    <row r="279" spans="3:18">
      <c r="C279" s="2"/>
      <c r="D279" s="2"/>
      <c r="E279" s="2"/>
      <c r="F279" s="2">
        <v>2020</v>
      </c>
      <c r="G279" s="2">
        <f t="shared" ref="G279:P279" si="181">F279+1</f>
        <v>2021</v>
      </c>
      <c r="H279" s="2">
        <f t="shared" si="181"/>
        <v>2022</v>
      </c>
      <c r="I279" s="2">
        <f t="shared" si="181"/>
        <v>2023</v>
      </c>
      <c r="J279" s="2">
        <f t="shared" si="181"/>
        <v>2024</v>
      </c>
      <c r="K279" s="2">
        <f t="shared" si="181"/>
        <v>2025</v>
      </c>
      <c r="L279" s="2">
        <f t="shared" si="181"/>
        <v>2026</v>
      </c>
      <c r="M279" s="2">
        <f t="shared" si="181"/>
        <v>2027</v>
      </c>
      <c r="N279" s="2">
        <f t="shared" si="181"/>
        <v>2028</v>
      </c>
      <c r="O279" s="2">
        <f t="shared" si="181"/>
        <v>2029</v>
      </c>
      <c r="P279" s="2">
        <f t="shared" si="181"/>
        <v>2030</v>
      </c>
      <c r="Q279" s="3"/>
      <c r="R279" s="3"/>
    </row>
    <row r="280" spans="3:18">
      <c r="C280" s="3" t="s">
        <v>2591</v>
      </c>
      <c r="D280" s="3"/>
      <c r="E280" s="3"/>
      <c r="F280" s="87">
        <f>F273</f>
        <v>83158</v>
      </c>
      <c r="G280" s="87">
        <f>F280</f>
        <v>83158</v>
      </c>
      <c r="H280" s="87">
        <f t="shared" ref="H280:P280" si="182">G280</f>
        <v>83158</v>
      </c>
      <c r="I280" s="87">
        <f t="shared" si="182"/>
        <v>83158</v>
      </c>
      <c r="J280" s="87">
        <f t="shared" si="182"/>
        <v>83158</v>
      </c>
      <c r="K280" s="87">
        <f t="shared" si="182"/>
        <v>83158</v>
      </c>
      <c r="L280" s="87">
        <f t="shared" si="182"/>
        <v>83158</v>
      </c>
      <c r="M280" s="87">
        <f t="shared" si="182"/>
        <v>83158</v>
      </c>
      <c r="N280" s="87">
        <f t="shared" si="182"/>
        <v>83158</v>
      </c>
      <c r="O280" s="87">
        <f t="shared" si="182"/>
        <v>83158</v>
      </c>
      <c r="P280" s="87">
        <f t="shared" si="182"/>
        <v>83158</v>
      </c>
      <c r="Q280" s="3"/>
      <c r="R280" s="3"/>
    </row>
    <row r="281" spans="3:18">
      <c r="C281" s="3" t="s">
        <v>2585</v>
      </c>
      <c r="D281" s="3"/>
      <c r="E281" s="3"/>
      <c r="F281" s="87">
        <f t="shared" ref="F281:P281" si="183">F280*0.73</f>
        <v>60705.34</v>
      </c>
      <c r="G281" s="87">
        <f t="shared" si="183"/>
        <v>60705.34</v>
      </c>
      <c r="H281" s="87">
        <f t="shared" si="183"/>
        <v>60705.34</v>
      </c>
      <c r="I281" s="87">
        <f t="shared" si="183"/>
        <v>60705.34</v>
      </c>
      <c r="J281" s="87">
        <f t="shared" si="183"/>
        <v>60705.34</v>
      </c>
      <c r="K281" s="87">
        <f t="shared" si="183"/>
        <v>60705.34</v>
      </c>
      <c r="L281" s="87">
        <f t="shared" si="183"/>
        <v>60705.34</v>
      </c>
      <c r="M281" s="87">
        <f t="shared" si="183"/>
        <v>60705.34</v>
      </c>
      <c r="N281" s="87">
        <f t="shared" si="183"/>
        <v>60705.34</v>
      </c>
      <c r="O281" s="87">
        <f t="shared" si="183"/>
        <v>60705.34</v>
      </c>
      <c r="P281" s="87">
        <f t="shared" si="183"/>
        <v>60705.34</v>
      </c>
      <c r="Q281" s="3"/>
      <c r="R281" s="3"/>
    </row>
    <row r="282" spans="3:18">
      <c r="C282" s="3" t="s">
        <v>2586</v>
      </c>
      <c r="D282" s="87">
        <f>NPV(SOP!C33,G281:P281)</f>
        <v>389680.42507929169</v>
      </c>
      <c r="E282" s="3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Q282" s="3"/>
      <c r="R282" s="3"/>
    </row>
    <row r="283" spans="3:18">
      <c r="C283" s="3" t="s">
        <v>2587</v>
      </c>
      <c r="D283" s="87">
        <f>SOP!C36*P281</f>
        <v>773858.62706354749</v>
      </c>
      <c r="E283" s="3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Q283" s="3"/>
      <c r="R283" s="3"/>
    </row>
    <row r="284" spans="3:18">
      <c r="C284" s="3" t="s">
        <v>2588</v>
      </c>
      <c r="D284" s="87">
        <f>D283/(1+SOP!C33)^10</f>
        <v>327051.23546743725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Q284" s="3"/>
      <c r="R284" s="3"/>
    </row>
    <row r="285" spans="3:18">
      <c r="C285" s="3" t="s">
        <v>2589</v>
      </c>
      <c r="D285" s="87">
        <f>D282+D284</f>
        <v>716731.66054672888</v>
      </c>
      <c r="E285" s="11">
        <f>D285/F280</f>
        <v>8.6189141218731677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Q285" s="3"/>
      <c r="R285" s="3"/>
    </row>
    <row r="286" spans="3:18">
      <c r="C286" s="364" t="s">
        <v>2590</v>
      </c>
      <c r="D286" s="468">
        <f>D285-F276</f>
        <v>384631.66054672888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Q286" s="3"/>
      <c r="R286" s="3"/>
    </row>
    <row r="287" spans="3:18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Q287" s="3"/>
      <c r="R287" s="3"/>
    </row>
    <row r="288" spans="3:18">
      <c r="C288" s="367" t="s">
        <v>2582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Q288" s="3"/>
      <c r="R288" s="3"/>
    </row>
    <row r="289" spans="3:18">
      <c r="C289" s="3" t="s">
        <v>1709</v>
      </c>
      <c r="D289" s="3"/>
      <c r="E289" s="3"/>
      <c r="F289" s="3">
        <v>432945</v>
      </c>
      <c r="G289" s="3"/>
      <c r="H289" s="3"/>
      <c r="I289" s="3"/>
      <c r="J289" s="3"/>
      <c r="K289" s="3"/>
      <c r="L289" s="3"/>
      <c r="M289" s="3"/>
      <c r="N289" s="3"/>
      <c r="O289" s="3"/>
      <c r="Q289" s="3"/>
      <c r="R289" s="3"/>
    </row>
    <row r="290" spans="3:18">
      <c r="C290" s="3" t="s">
        <v>2579</v>
      </c>
      <c r="D290" s="3"/>
      <c r="E290" s="3"/>
      <c r="F290" s="3">
        <f>Master!E256*1000</f>
        <v>165000000</v>
      </c>
      <c r="G290" s="3"/>
      <c r="H290" s="3"/>
      <c r="I290" s="3"/>
      <c r="J290" s="3"/>
      <c r="K290" s="3"/>
      <c r="L290" s="3"/>
      <c r="M290" s="3"/>
      <c r="N290" s="3"/>
      <c r="O290" s="3"/>
      <c r="Q290" s="3"/>
      <c r="R290" s="3"/>
    </row>
    <row r="291" spans="3:18">
      <c r="C291" s="3" t="s">
        <v>2584</v>
      </c>
      <c r="D291" s="3"/>
      <c r="E291" s="3"/>
      <c r="F291" s="3">
        <f>F289-F290</f>
        <v>-164567055</v>
      </c>
      <c r="G291" s="7">
        <f>F291/300</f>
        <v>-548556.85</v>
      </c>
      <c r="H291" s="3"/>
      <c r="I291" s="3"/>
      <c r="J291" s="3"/>
      <c r="K291" s="3"/>
      <c r="L291" s="3"/>
      <c r="M291" s="3"/>
      <c r="N291" s="3"/>
      <c r="O291" s="3"/>
      <c r="Q291" s="3"/>
      <c r="R291" s="3"/>
    </row>
    <row r="292" spans="3:18">
      <c r="Q292" s="3"/>
      <c r="R292" s="3"/>
    </row>
    <row r="293" spans="3:18">
      <c r="Q293" s="3"/>
      <c r="R293" s="3"/>
    </row>
    <row r="294" spans="3:18">
      <c r="Q294" s="3"/>
      <c r="R294" s="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445E-042A-4B9F-81AC-49A3FF2FD74A}">
  <dimension ref="A1:CA674"/>
  <sheetViews>
    <sheetView zoomScale="72" zoomScaleNormal="72" workbookViewId="0">
      <pane xSplit="2" topLeftCell="O1" activePane="topRight" state="frozen"/>
      <selection pane="topRight" activeCell="AA1" sqref="AA1"/>
    </sheetView>
  </sheetViews>
  <sheetFormatPr defaultRowHeight="14.4" outlineLevelCol="1"/>
  <cols>
    <col min="1" max="1" width="6.68359375" customWidth="1"/>
    <col min="2" max="2" width="45.68359375" customWidth="1"/>
    <col min="3" max="6" width="9.15625" hidden="1" customWidth="1" outlineLevel="1"/>
    <col min="7" max="10" width="10" hidden="1" customWidth="1" outlineLevel="1"/>
    <col min="11" max="11" width="10" hidden="1" customWidth="1" outlineLevel="1" collapsed="1"/>
    <col min="12" max="12" width="10.41796875" hidden="1" customWidth="1" outlineLevel="1"/>
    <col min="13" max="14" width="10" hidden="1" customWidth="1" outlineLevel="1"/>
    <col min="15" max="15" width="10.578125" customWidth="1" collapsed="1"/>
    <col min="16" max="17" width="10.41796875" bestFit="1" customWidth="1"/>
    <col min="18" max="18" width="10.83984375" customWidth="1"/>
    <col min="19" max="20" width="10.41796875" bestFit="1" customWidth="1"/>
    <col min="21" max="21" width="10.578125" bestFit="1" customWidth="1"/>
    <col min="22" max="23" width="10.41796875" bestFit="1" customWidth="1"/>
    <col min="24" max="25" width="10.41796875" customWidth="1"/>
    <col min="26" max="26" width="10.83984375" bestFit="1" customWidth="1"/>
    <col min="27" max="30" width="10.83984375" customWidth="1"/>
    <col min="31" max="32" width="10.83984375" hidden="1" customWidth="1"/>
    <col min="34" max="34" width="10.41796875" customWidth="1"/>
    <col min="35" max="37" width="10.41796875" hidden="1" customWidth="1" outlineLevel="1"/>
    <col min="38" max="38" width="9.41796875" hidden="1" customWidth="1" outlineLevel="1"/>
    <col min="39" max="47" width="9.15625" hidden="1" customWidth="1" outlineLevel="1"/>
    <col min="48" max="48" width="9.15625" hidden="1" customWidth="1" outlineLevel="1" collapsed="1"/>
    <col min="49" max="51" width="9.15625" hidden="1" customWidth="1" outlineLevel="1"/>
    <col min="52" max="52" width="9.15625" collapsed="1"/>
    <col min="53" max="55" width="8.26171875" bestFit="1" customWidth="1"/>
    <col min="56" max="56" width="7.83984375" bestFit="1" customWidth="1"/>
    <col min="57" max="59" width="8.26171875" bestFit="1" customWidth="1"/>
    <col min="60" max="62" width="8.68359375" bestFit="1" customWidth="1"/>
    <col min="63" max="63" width="8.68359375" style="590" bestFit="1" customWidth="1"/>
    <col min="64" max="64" width="9.15625" style="590"/>
    <col min="76" max="76" width="11.41796875" customWidth="1"/>
    <col min="78" max="78" width="10.83984375" bestFit="1" customWidth="1"/>
  </cols>
  <sheetData>
    <row r="1" spans="1:79">
      <c r="J1" s="162"/>
      <c r="K1" s="162"/>
      <c r="L1" s="162"/>
      <c r="M1" s="162"/>
      <c r="N1" s="162"/>
      <c r="O1" s="162"/>
      <c r="P1" s="87"/>
      <c r="Q1" s="162"/>
      <c r="R1" s="162"/>
      <c r="S1" s="162"/>
      <c r="T1" s="162"/>
      <c r="U1" s="162"/>
      <c r="W1" s="162"/>
      <c r="X1" s="162"/>
      <c r="Y1" s="162"/>
      <c r="BX1" s="616"/>
      <c r="BY1" s="616"/>
      <c r="BZ1" s="624" t="s">
        <v>3318</v>
      </c>
      <c r="CA1" s="624" t="s">
        <v>3318</v>
      </c>
    </row>
    <row r="2" spans="1:79">
      <c r="A2" s="3"/>
      <c r="B2" s="455" t="s">
        <v>2511</v>
      </c>
      <c r="C2" s="13" t="str">
        <f t="shared" ref="C2:K2" si="0">C33</f>
        <v>Q1 18</v>
      </c>
      <c r="D2" s="13" t="str">
        <f t="shared" si="0"/>
        <v>Q2 18</v>
      </c>
      <c r="E2" s="13" t="str">
        <f t="shared" si="0"/>
        <v>Q3 18</v>
      </c>
      <c r="F2" s="13" t="str">
        <f t="shared" si="0"/>
        <v>Q4 18</v>
      </c>
      <c r="G2" s="13" t="str">
        <f t="shared" si="0"/>
        <v>Q1 19</v>
      </c>
      <c r="H2" s="13" t="str">
        <f t="shared" si="0"/>
        <v>Q2 19</v>
      </c>
      <c r="I2" s="13" t="str">
        <f t="shared" si="0"/>
        <v>Q3 19</v>
      </c>
      <c r="J2" s="13" t="str">
        <f t="shared" si="0"/>
        <v>Q4 19</v>
      </c>
      <c r="K2" s="13" t="str">
        <f t="shared" si="0"/>
        <v>Q1 20</v>
      </c>
      <c r="L2" s="13" t="s">
        <v>2727</v>
      </c>
      <c r="M2" s="13" t="s">
        <v>2797</v>
      </c>
      <c r="N2" s="13" t="s">
        <v>2819</v>
      </c>
      <c r="O2" s="13" t="s">
        <v>2904</v>
      </c>
      <c r="P2" s="13" t="s">
        <v>2907</v>
      </c>
      <c r="Q2" s="13" t="s">
        <v>2928</v>
      </c>
      <c r="R2" s="13" t="s">
        <v>2929</v>
      </c>
      <c r="S2" s="13" t="s">
        <v>2931</v>
      </c>
      <c r="T2" s="13" t="s">
        <v>2934</v>
      </c>
      <c r="U2" s="13" t="s">
        <v>2933</v>
      </c>
      <c r="V2" s="13" t="s">
        <v>2932</v>
      </c>
      <c r="W2" s="13" t="s">
        <v>3209</v>
      </c>
      <c r="X2" s="591" t="s">
        <v>3274</v>
      </c>
      <c r="Y2" s="591" t="s">
        <v>3275</v>
      </c>
      <c r="Z2" s="591" t="s">
        <v>3317</v>
      </c>
      <c r="AA2" s="591" t="s">
        <v>3343</v>
      </c>
      <c r="AB2" s="591" t="s">
        <v>3344</v>
      </c>
      <c r="AC2" s="591" t="s">
        <v>3345</v>
      </c>
      <c r="AD2" s="591" t="s">
        <v>3346</v>
      </c>
      <c r="AE2" s="591">
        <v>2024</v>
      </c>
      <c r="AF2" s="591">
        <v>2025</v>
      </c>
      <c r="AG2" s="3"/>
      <c r="AH2" s="403"/>
      <c r="AI2" s="403"/>
      <c r="AJ2" s="403"/>
      <c r="AK2" s="403"/>
      <c r="AL2" s="403"/>
      <c r="AM2" s="3"/>
      <c r="AN2" s="13" t="str">
        <f t="shared" ref="AN2:BK2" si="1">G2</f>
        <v>Q1 19</v>
      </c>
      <c r="AO2" s="13" t="str">
        <f t="shared" si="1"/>
        <v>Q2 19</v>
      </c>
      <c r="AP2" s="13" t="str">
        <f t="shared" si="1"/>
        <v>Q3 19</v>
      </c>
      <c r="AQ2" s="13" t="str">
        <f t="shared" si="1"/>
        <v>Q4 19</v>
      </c>
      <c r="AR2" s="13" t="str">
        <f t="shared" si="1"/>
        <v>Q1 20</v>
      </c>
      <c r="AS2" s="13" t="str">
        <f t="shared" si="1"/>
        <v>Q2 20</v>
      </c>
      <c r="AT2" s="13" t="str">
        <f t="shared" si="1"/>
        <v>Q3 20</v>
      </c>
      <c r="AU2" s="13" t="str">
        <f t="shared" si="1"/>
        <v>Q4 20</v>
      </c>
      <c r="AV2" s="13" t="str">
        <f t="shared" si="1"/>
        <v>Q1 21</v>
      </c>
      <c r="AW2" s="13" t="str">
        <f t="shared" si="1"/>
        <v>Q2 21</v>
      </c>
      <c r="AX2" s="13" t="str">
        <f t="shared" si="1"/>
        <v>Q3 21</v>
      </c>
      <c r="AY2" s="13" t="str">
        <f t="shared" si="1"/>
        <v>Q4 21</v>
      </c>
      <c r="AZ2" s="13" t="str">
        <f t="shared" si="1"/>
        <v>Q1 22</v>
      </c>
      <c r="BA2" s="13" t="str">
        <f t="shared" si="1"/>
        <v>Q2 22</v>
      </c>
      <c r="BB2" s="13" t="str">
        <f t="shared" si="1"/>
        <v>Q3 22</v>
      </c>
      <c r="BC2" s="13" t="str">
        <f t="shared" si="1"/>
        <v>Q4 22</v>
      </c>
      <c r="BD2" s="13" t="str">
        <f t="shared" si="1"/>
        <v>Q1 23</v>
      </c>
      <c r="BE2" s="13" t="str">
        <f t="shared" si="1"/>
        <v>Q2 23</v>
      </c>
      <c r="BF2" s="13" t="str">
        <f t="shared" si="1"/>
        <v>Q3 23</v>
      </c>
      <c r="BG2" s="13" t="str">
        <f t="shared" si="1"/>
        <v>Q4 23</v>
      </c>
      <c r="BH2" s="13" t="str">
        <f t="shared" si="1"/>
        <v>Q1 24e</v>
      </c>
      <c r="BI2" s="13" t="str">
        <f t="shared" si="1"/>
        <v>Q2 24e</v>
      </c>
      <c r="BJ2" s="13" t="str">
        <f t="shared" si="1"/>
        <v>Q3 24e</v>
      </c>
      <c r="BK2" s="13" t="str">
        <f t="shared" si="1"/>
        <v>Q4 24e</v>
      </c>
      <c r="BL2" s="620"/>
      <c r="BX2" s="591" t="s">
        <v>3080</v>
      </c>
      <c r="BY2" s="13" t="str">
        <f>BX2</f>
        <v>Q1 23e</v>
      </c>
      <c r="BZ2" s="622" t="s">
        <v>3079</v>
      </c>
      <c r="CA2" s="623" t="s">
        <v>3079</v>
      </c>
    </row>
    <row r="3" spans="1:79">
      <c r="A3" s="3"/>
      <c r="B3" s="3" t="s">
        <v>28</v>
      </c>
      <c r="C3" s="87">
        <f>Interims!AU123</f>
        <v>251474</v>
      </c>
      <c r="D3" s="87">
        <f>Interims!AV123</f>
        <v>250034</v>
      </c>
      <c r="E3" s="87">
        <f>Interims!AW123</f>
        <v>243242</v>
      </c>
      <c r="F3" s="87">
        <f>Interims!AX123</f>
        <v>256929</v>
      </c>
      <c r="G3" s="87">
        <f>Interims!AY123</f>
        <v>240579</v>
      </c>
      <c r="H3" s="87">
        <f>Interims!AZ123</f>
        <v>231029</v>
      </c>
      <c r="I3" s="87">
        <f>Interims!BA123</f>
        <v>237446</v>
      </c>
      <c r="J3" s="87">
        <f>Interims!BB123</f>
        <v>241423</v>
      </c>
      <c r="K3" s="87">
        <v>243810</v>
      </c>
      <c r="L3" s="87">
        <v>224752</v>
      </c>
      <c r="M3" s="87">
        <v>262294</v>
      </c>
      <c r="N3" s="87">
        <v>285575</v>
      </c>
      <c r="O3" s="87">
        <v>281463</v>
      </c>
      <c r="P3" s="87">
        <v>297419</v>
      </c>
      <c r="Q3" s="87">
        <v>296919</v>
      </c>
      <c r="R3" s="87">
        <v>311886</v>
      </c>
      <c r="S3" s="266">
        <v>292493</v>
      </c>
      <c r="T3" s="266">
        <v>301546</v>
      </c>
      <c r="U3" s="266">
        <v>283992</v>
      </c>
      <c r="V3" s="266">
        <v>288835</v>
      </c>
      <c r="W3" s="266">
        <v>289615</v>
      </c>
      <c r="X3" s="266">
        <v>283897</v>
      </c>
      <c r="Y3" s="266">
        <v>278230</v>
      </c>
      <c r="Z3" s="266">
        <v>309269</v>
      </c>
      <c r="AA3" s="87">
        <f>AA19+AA20</f>
        <v>291974.86317000003</v>
      </c>
      <c r="AB3" s="87">
        <f t="shared" ref="AB3:AC3" si="2">AB19+AB20</f>
        <v>286966.86971999996</v>
      </c>
      <c r="AC3" s="87">
        <f t="shared" si="2"/>
        <v>281083.20449999999</v>
      </c>
      <c r="AD3" s="645">
        <f>Master!J115-'New Ints'!AA3-'New Ints'!AB3-'New Ints'!AC3</f>
        <v>312596.17261000013</v>
      </c>
      <c r="AE3" s="645">
        <f>Master!J115</f>
        <v>1172621.1100000001</v>
      </c>
      <c r="AF3" s="645">
        <f>Master!K115</f>
        <v>1184347.3211000001</v>
      </c>
      <c r="AG3" s="5"/>
      <c r="AH3" s="87"/>
      <c r="AI3" s="87"/>
      <c r="AJ3" s="87"/>
      <c r="AK3" s="87"/>
      <c r="AL3" s="3"/>
      <c r="AM3" s="3"/>
      <c r="AN3" s="5">
        <f t="shared" ref="AN3:AW4" si="3">G3/C3-1</f>
        <v>-4.3324558403652014E-2</v>
      </c>
      <c r="AO3" s="5">
        <f t="shared" si="3"/>
        <v>-7.6009662685874724E-2</v>
      </c>
      <c r="AP3" s="5">
        <f t="shared" si="3"/>
        <v>-2.3828121788178058E-2</v>
      </c>
      <c r="AQ3" s="5">
        <f t="shared" si="3"/>
        <v>-6.0351303278337598E-2</v>
      </c>
      <c r="AR3" s="5">
        <f t="shared" si="3"/>
        <v>1.3430099884029767E-2</v>
      </c>
      <c r="AS3" s="5">
        <f t="shared" si="3"/>
        <v>-2.7169749252258346E-2</v>
      </c>
      <c r="AT3" s="5">
        <f t="shared" si="3"/>
        <v>0.10464695130682355</v>
      </c>
      <c r="AU3" s="5">
        <f t="shared" si="3"/>
        <v>0.18288232687026507</v>
      </c>
      <c r="AV3" s="5">
        <f t="shared" si="3"/>
        <v>0.15443583118001714</v>
      </c>
      <c r="AW3" s="5">
        <f t="shared" si="3"/>
        <v>0.323320815832562</v>
      </c>
      <c r="AX3" s="5">
        <f t="shared" ref="AX3:BG4" si="4">Q3/M3-1</f>
        <v>0.13200835703447278</v>
      </c>
      <c r="AY3" s="5">
        <f t="shared" si="4"/>
        <v>9.2133415039831856E-2</v>
      </c>
      <c r="AZ3" s="5">
        <f t="shared" si="4"/>
        <v>3.918809932388978E-2</v>
      </c>
      <c r="BA3" s="5">
        <f t="shared" si="4"/>
        <v>1.3876046923700258E-2</v>
      </c>
      <c r="BB3" s="5">
        <f t="shared" si="4"/>
        <v>-4.3537126286967154E-2</v>
      </c>
      <c r="BC3" s="5">
        <f t="shared" si="4"/>
        <v>-7.3908415254291593E-2</v>
      </c>
      <c r="BD3" s="5">
        <f t="shared" si="4"/>
        <v>-9.8395517157675583E-3</v>
      </c>
      <c r="BE3" s="5">
        <f t="shared" si="4"/>
        <v>-5.8528383729182232E-2</v>
      </c>
      <c r="BF3" s="5">
        <f t="shared" si="4"/>
        <v>-2.0289303924054147E-2</v>
      </c>
      <c r="BG3" s="5">
        <f t="shared" si="4"/>
        <v>7.074627382415577E-2</v>
      </c>
      <c r="BH3" s="5">
        <f t="shared" ref="BH3:BK4" si="5">AA3/W3-1</f>
        <v>8.1482767467155881E-3</v>
      </c>
      <c r="BI3" s="5">
        <f t="shared" si="5"/>
        <v>1.0813322155570404E-2</v>
      </c>
      <c r="BJ3" s="5">
        <f t="shared" si="5"/>
        <v>1.0254841318333652E-2</v>
      </c>
      <c r="BK3" s="5">
        <f t="shared" si="5"/>
        <v>1.0758183361410767E-2</v>
      </c>
      <c r="BL3" s="174"/>
      <c r="BX3" s="457">
        <f>S3*1.045</f>
        <v>305655.185</v>
      </c>
      <c r="BY3" s="5">
        <f>BX3/S3-1</f>
        <v>4.4999999999999929E-2</v>
      </c>
      <c r="BZ3" s="528">
        <v>291786.67999999993</v>
      </c>
      <c r="CA3" s="5">
        <v>1.0219260131216545E-2</v>
      </c>
    </row>
    <row r="4" spans="1:79">
      <c r="A4" s="3"/>
      <c r="B4" s="3" t="s">
        <v>2540</v>
      </c>
      <c r="C4" s="87">
        <f t="shared" ref="C4:S4" si="6">C177</f>
        <v>93880</v>
      </c>
      <c r="D4" s="87">
        <f t="shared" si="6"/>
        <v>96118</v>
      </c>
      <c r="E4" s="87">
        <f t="shared" si="6"/>
        <v>104201</v>
      </c>
      <c r="F4" s="87">
        <f t="shared" si="6"/>
        <v>105024</v>
      </c>
      <c r="G4" s="87">
        <f t="shared" si="6"/>
        <v>98122</v>
      </c>
      <c r="H4" s="87">
        <f t="shared" si="6"/>
        <v>105231</v>
      </c>
      <c r="I4" s="87">
        <f t="shared" si="6"/>
        <v>103429</v>
      </c>
      <c r="J4" s="87">
        <f t="shared" si="6"/>
        <v>106671</v>
      </c>
      <c r="K4" s="87">
        <f t="shared" si="6"/>
        <v>102313</v>
      </c>
      <c r="L4" s="87">
        <f t="shared" si="6"/>
        <v>102980</v>
      </c>
      <c r="M4" s="87">
        <f t="shared" si="6"/>
        <v>101775</v>
      </c>
      <c r="N4" s="87">
        <f t="shared" si="6"/>
        <v>110474</v>
      </c>
      <c r="O4" s="87">
        <f t="shared" si="6"/>
        <v>102109</v>
      </c>
      <c r="P4" s="87">
        <f t="shared" si="6"/>
        <v>109363</v>
      </c>
      <c r="Q4" s="87">
        <f t="shared" si="6"/>
        <v>113961</v>
      </c>
      <c r="R4" s="87">
        <f t="shared" si="6"/>
        <v>109409</v>
      </c>
      <c r="S4" s="87">
        <f t="shared" si="6"/>
        <v>113082</v>
      </c>
      <c r="T4" s="266">
        <f>95326+16353</f>
        <v>111679</v>
      </c>
      <c r="U4" s="266">
        <f>98237+18165</f>
        <v>116402</v>
      </c>
      <c r="V4" s="266">
        <f>104797+13091</f>
        <v>117888</v>
      </c>
      <c r="W4" s="266">
        <f>96717+15604</f>
        <v>112321</v>
      </c>
      <c r="X4" s="266">
        <f>105886+18113</f>
        <v>123999</v>
      </c>
      <c r="Y4" s="266">
        <f>98768+17248</f>
        <v>116016</v>
      </c>
      <c r="Z4" s="266">
        <f>111175+18726</f>
        <v>129901</v>
      </c>
      <c r="AA4" s="457">
        <f>1.05*W4</f>
        <v>117937.05</v>
      </c>
      <c r="AB4" s="457">
        <f t="shared" ref="AB4:AC4" si="7">1.05*X4</f>
        <v>130198.95000000001</v>
      </c>
      <c r="AC4" s="457">
        <f t="shared" si="7"/>
        <v>121816.8</v>
      </c>
      <c r="AD4" s="645">
        <f>Master!J117-'New Ints'!AA4-'New Ints'!AB4-'New Ints'!AC4</f>
        <v>136396.05000000005</v>
      </c>
      <c r="AE4" s="645">
        <f>Master!J117</f>
        <v>506348.85000000003</v>
      </c>
      <c r="AF4" s="645">
        <f>Master!K117</f>
        <v>526602.804</v>
      </c>
      <c r="AG4" s="5"/>
      <c r="AH4" s="87"/>
      <c r="AI4" s="87"/>
      <c r="AJ4" s="87"/>
      <c r="AK4" s="87"/>
      <c r="AL4" s="3"/>
      <c r="AM4" s="3"/>
      <c r="AN4" s="5">
        <f t="shared" si="3"/>
        <v>4.518534299105248E-2</v>
      </c>
      <c r="AO4" s="5">
        <f t="shared" si="3"/>
        <v>9.4810545371314392E-2</v>
      </c>
      <c r="AP4" s="5">
        <f t="shared" si="3"/>
        <v>-7.4087580733390723E-3</v>
      </c>
      <c r="AQ4" s="5">
        <f t="shared" si="3"/>
        <v>1.5682129798903155E-2</v>
      </c>
      <c r="AR4" s="5">
        <f t="shared" si="3"/>
        <v>4.2712133874156732E-2</v>
      </c>
      <c r="AS4" s="5">
        <f t="shared" si="3"/>
        <v>-2.1391034961180666E-2</v>
      </c>
      <c r="AT4" s="5">
        <f t="shared" si="3"/>
        <v>-1.5991646443453966E-2</v>
      </c>
      <c r="AU4" s="5">
        <f t="shared" si="3"/>
        <v>3.5651676650636066E-2</v>
      </c>
      <c r="AV4" s="5">
        <f t="shared" si="3"/>
        <v>-1.99388152043245E-3</v>
      </c>
      <c r="AW4" s="5">
        <f t="shared" si="3"/>
        <v>6.1982909302777278E-2</v>
      </c>
      <c r="AX4" s="5">
        <f t="shared" si="4"/>
        <v>0.11973470891672799</v>
      </c>
      <c r="AY4" s="5">
        <f t="shared" si="4"/>
        <v>-9.640277350326798E-3</v>
      </c>
      <c r="AZ4" s="5">
        <f t="shared" si="4"/>
        <v>0.10746359282727291</v>
      </c>
      <c r="BA4" s="5">
        <f t="shared" si="4"/>
        <v>2.1177180582098165E-2</v>
      </c>
      <c r="BB4" s="5">
        <f t="shared" si="4"/>
        <v>2.1419608462544204E-2</v>
      </c>
      <c r="BC4" s="5">
        <f t="shared" si="4"/>
        <v>7.7498194846858937E-2</v>
      </c>
      <c r="BD4" s="5">
        <f t="shared" si="4"/>
        <v>-6.7296298261438903E-3</v>
      </c>
      <c r="BE4" s="5">
        <f t="shared" si="4"/>
        <v>0.11031617403450955</v>
      </c>
      <c r="BF4" s="5">
        <f t="shared" si="4"/>
        <v>-3.3160942251850845E-3</v>
      </c>
      <c r="BG4" s="5">
        <f t="shared" si="4"/>
        <v>0.10190180510314883</v>
      </c>
      <c r="BH4" s="5">
        <f t="shared" si="5"/>
        <v>5.0000000000000044E-2</v>
      </c>
      <c r="BI4" s="5">
        <f t="shared" si="5"/>
        <v>5.0000000000000044E-2</v>
      </c>
      <c r="BJ4" s="5">
        <f t="shared" si="5"/>
        <v>5.0000000000000044E-2</v>
      </c>
      <c r="BK4" s="5">
        <f t="shared" si="5"/>
        <v>5.0000000000000266E-2</v>
      </c>
      <c r="BL4" s="174"/>
      <c r="BX4" s="457">
        <f>S4*1.01</f>
        <v>114212.82</v>
      </c>
      <c r="BY4" s="5">
        <f>BX4/S4-1</f>
        <v>1.0000000000000009E-2</v>
      </c>
      <c r="BZ4" s="528">
        <v>111305.51000000001</v>
      </c>
      <c r="CA4" s="5">
        <v>-5.5836811210640547E-2</v>
      </c>
    </row>
    <row r="5" spans="1:79">
      <c r="A5" s="3"/>
      <c r="B5" s="2" t="s">
        <v>2542</v>
      </c>
      <c r="C5" s="379">
        <f t="shared" ref="C5:U5" si="8">C6-C3-C4</f>
        <v>1570</v>
      </c>
      <c r="D5" s="379">
        <f t="shared" si="8"/>
        <v>2546</v>
      </c>
      <c r="E5" s="379">
        <f t="shared" si="8"/>
        <v>1922</v>
      </c>
      <c r="F5" s="379">
        <f t="shared" si="8"/>
        <v>2518</v>
      </c>
      <c r="G5" s="379">
        <f t="shared" si="8"/>
        <v>1972</v>
      </c>
      <c r="H5" s="379">
        <f t="shared" si="8"/>
        <v>2005</v>
      </c>
      <c r="I5" s="379">
        <f t="shared" si="8"/>
        <v>2031</v>
      </c>
      <c r="J5" s="379">
        <f t="shared" si="8"/>
        <v>2710</v>
      </c>
      <c r="K5" s="379">
        <f t="shared" si="8"/>
        <v>3558</v>
      </c>
      <c r="L5" s="379">
        <f t="shared" si="8"/>
        <v>2993</v>
      </c>
      <c r="M5" s="379">
        <f t="shared" si="8"/>
        <v>3244</v>
      </c>
      <c r="N5" s="379">
        <f t="shared" si="8"/>
        <v>3521</v>
      </c>
      <c r="O5" s="379">
        <f t="shared" si="8"/>
        <v>7822</v>
      </c>
      <c r="P5" s="379">
        <f t="shared" si="8"/>
        <v>2790</v>
      </c>
      <c r="Q5" s="379">
        <f t="shared" si="8"/>
        <v>10024</v>
      </c>
      <c r="R5" s="379">
        <f t="shared" si="8"/>
        <v>11766</v>
      </c>
      <c r="S5" s="379">
        <f t="shared" si="8"/>
        <v>9074</v>
      </c>
      <c r="T5" s="379">
        <f t="shared" si="8"/>
        <v>11511</v>
      </c>
      <c r="U5" s="379">
        <f t="shared" si="8"/>
        <v>9509</v>
      </c>
      <c r="V5" s="379">
        <f t="shared" ref="V5" si="9">V6-V3-V4</f>
        <v>8992</v>
      </c>
      <c r="W5" s="379">
        <f>W6-W3-W4</f>
        <v>10395</v>
      </c>
      <c r="X5" s="379">
        <f t="shared" ref="X5:AC5" si="10">X6-X3-X4</f>
        <v>10106</v>
      </c>
      <c r="Y5" s="379">
        <f t="shared" si="10"/>
        <v>9030</v>
      </c>
      <c r="Z5" s="379">
        <f t="shared" si="10"/>
        <v>61091</v>
      </c>
      <c r="AA5" s="379">
        <f t="shared" si="10"/>
        <v>12727.361829999936</v>
      </c>
      <c r="AB5" s="379">
        <f t="shared" si="10"/>
        <v>11286.230280000018</v>
      </c>
      <c r="AC5" s="379">
        <f t="shared" si="10"/>
        <v>10457.89549999997</v>
      </c>
      <c r="AD5" s="645">
        <f>Master!J119-'New Ints'!AA5-'New Ints'!AB5-'New Ints'!AC5</f>
        <v>10528.512390000076</v>
      </c>
      <c r="AE5" s="645">
        <f>Master!J119</f>
        <v>45000</v>
      </c>
      <c r="AF5" s="645">
        <f>Master!K119</f>
        <v>45000</v>
      </c>
      <c r="AG5" s="5"/>
      <c r="AH5" s="87"/>
      <c r="AI5" s="87"/>
      <c r="AJ5" s="87"/>
      <c r="AK5" s="87"/>
      <c r="AL5" s="3"/>
      <c r="AM5" s="3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174"/>
      <c r="BX5" s="522">
        <v>10000</v>
      </c>
      <c r="BY5" s="82"/>
      <c r="BZ5" s="528">
        <v>9555</v>
      </c>
      <c r="CA5" s="82"/>
    </row>
    <row r="6" spans="1:79">
      <c r="A6" s="304" t="s">
        <v>2539</v>
      </c>
      <c r="B6" s="3" t="s">
        <v>2541</v>
      </c>
      <c r="C6" s="3">
        <v>346924</v>
      </c>
      <c r="D6" s="3">
        <v>348698</v>
      </c>
      <c r="E6" s="87">
        <v>349365</v>
      </c>
      <c r="F6" s="87">
        <v>364471</v>
      </c>
      <c r="G6" s="87">
        <v>340673</v>
      </c>
      <c r="H6" s="87">
        <v>338265</v>
      </c>
      <c r="I6" s="87">
        <v>342906</v>
      </c>
      <c r="J6" s="87">
        <f>470904-120100</f>
        <v>350804</v>
      </c>
      <c r="K6" s="266">
        <f>359581-9900</f>
        <v>349681</v>
      </c>
      <c r="L6" s="266">
        <f>342125-11400</f>
        <v>330725</v>
      </c>
      <c r="M6" s="266">
        <f>370813-3500</f>
        <v>367313</v>
      </c>
      <c r="N6" s="266">
        <f>404970-5400</f>
        <v>399570</v>
      </c>
      <c r="O6" s="87">
        <v>391394</v>
      </c>
      <c r="P6" s="266">
        <f>418872-P50</f>
        <v>409572</v>
      </c>
      <c r="Q6" s="87">
        <v>420904</v>
      </c>
      <c r="R6" s="87">
        <v>433061</v>
      </c>
      <c r="S6" s="266">
        <v>414649</v>
      </c>
      <c r="T6" s="266">
        <f>910536-T50</f>
        <v>424736</v>
      </c>
      <c r="U6" s="266">
        <v>409903</v>
      </c>
      <c r="V6" s="266">
        <v>415715</v>
      </c>
      <c r="W6" s="266">
        <v>412331</v>
      </c>
      <c r="X6" s="266">
        <f>418002-X50</f>
        <v>418002</v>
      </c>
      <c r="Y6" s="266">
        <f>403276-Y50</f>
        <v>403276</v>
      </c>
      <c r="Z6" s="266">
        <v>500261</v>
      </c>
      <c r="AA6" s="457">
        <f>1.025*W6</f>
        <v>422639.27499999997</v>
      </c>
      <c r="AB6" s="457">
        <f>1.025*X6</f>
        <v>428452.05</v>
      </c>
      <c r="AC6" s="457">
        <f>1.025*Y6</f>
        <v>413357.89999999997</v>
      </c>
      <c r="AD6" s="646">
        <f>Master!J120-'New Ints'!AA6-'New Ints'!AB6-'New Ints'!AC6</f>
        <v>459520.73500000028</v>
      </c>
      <c r="AE6" s="646">
        <f>Master!J120</f>
        <v>1723969.9600000002</v>
      </c>
      <c r="AF6" s="646">
        <f>Master!K120</f>
        <v>1755950.1251000001</v>
      </c>
      <c r="AG6" s="5"/>
      <c r="AH6" s="87"/>
      <c r="AI6" s="87"/>
      <c r="AJ6" s="87"/>
      <c r="AK6" s="87"/>
      <c r="AL6" s="3"/>
      <c r="AM6" s="3"/>
      <c r="AN6" s="5">
        <f t="shared" ref="AN6:BK6" si="11">G6/C6-1</f>
        <v>-1.8018355605262215E-2</v>
      </c>
      <c r="AO6" s="5">
        <f t="shared" si="11"/>
        <v>-2.9919873357461158E-2</v>
      </c>
      <c r="AP6" s="5">
        <f t="shared" si="11"/>
        <v>-1.8487827916362498E-2</v>
      </c>
      <c r="AQ6" s="5">
        <f t="shared" si="11"/>
        <v>-3.7498182297082572E-2</v>
      </c>
      <c r="AR6" s="5">
        <f t="shared" si="11"/>
        <v>2.6441778479656453E-2</v>
      </c>
      <c r="AS6" s="5">
        <f t="shared" si="11"/>
        <v>-2.2290216250572814E-2</v>
      </c>
      <c r="AT6" s="5">
        <f t="shared" si="11"/>
        <v>7.1176940619295026E-2</v>
      </c>
      <c r="AU6" s="5">
        <f t="shared" si="11"/>
        <v>0.1390120979236269</v>
      </c>
      <c r="AV6" s="5">
        <f t="shared" si="11"/>
        <v>0.11928872315052863</v>
      </c>
      <c r="AW6" s="5">
        <f t="shared" si="11"/>
        <v>0.2384065311059036</v>
      </c>
      <c r="AX6" s="5">
        <f t="shared" si="11"/>
        <v>0.14590009065837584</v>
      </c>
      <c r="AY6" s="5">
        <f t="shared" si="11"/>
        <v>8.3817603924218442E-2</v>
      </c>
      <c r="AZ6" s="5">
        <f t="shared" si="11"/>
        <v>5.9415831617245063E-2</v>
      </c>
      <c r="BA6" s="5">
        <f t="shared" si="11"/>
        <v>3.7024015313546821E-2</v>
      </c>
      <c r="BB6" s="5">
        <f t="shared" si="11"/>
        <v>-2.613660122023076E-2</v>
      </c>
      <c r="BC6" s="5">
        <f t="shared" si="11"/>
        <v>-4.0054403421227014E-2</v>
      </c>
      <c r="BD6" s="5">
        <f t="shared" si="11"/>
        <v>-5.5902703250219066E-3</v>
      </c>
      <c r="BE6" s="5">
        <f t="shared" si="11"/>
        <v>-1.5854554358472051E-2</v>
      </c>
      <c r="BF6" s="5">
        <f t="shared" si="11"/>
        <v>-1.6167239566433955E-2</v>
      </c>
      <c r="BG6" s="5">
        <f t="shared" si="11"/>
        <v>0.20337490829053562</v>
      </c>
      <c r="BH6" s="5">
        <f t="shared" si="11"/>
        <v>2.4999999999999911E-2</v>
      </c>
      <c r="BI6" s="5">
        <f t="shared" si="11"/>
        <v>2.4999999999999911E-2</v>
      </c>
      <c r="BJ6" s="5">
        <f t="shared" si="11"/>
        <v>2.4999999999999911E-2</v>
      </c>
      <c r="BK6" s="5">
        <f t="shared" si="11"/>
        <v>-8.1438019353896718E-2</v>
      </c>
      <c r="BL6" s="174"/>
      <c r="BX6" s="589">
        <f>SUM(BX3:BX5)</f>
        <v>429868.005</v>
      </c>
      <c r="BY6" s="5">
        <f>BX6/S6-1</f>
        <v>3.6703344274313876E-2</v>
      </c>
      <c r="BZ6" s="589">
        <v>412647.18999999994</v>
      </c>
      <c r="CA6" s="5">
        <v>-7.3795990041255477E-3</v>
      </c>
    </row>
    <row r="7" spans="1:79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173"/>
      <c r="AA7" s="3"/>
      <c r="AB7" s="3"/>
      <c r="AC7" s="3"/>
      <c r="AD7" s="173"/>
      <c r="AE7" s="173"/>
      <c r="AF7" s="173"/>
      <c r="AG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K7"/>
      <c r="BZ7" s="590"/>
    </row>
    <row r="8" spans="1:79">
      <c r="A8" s="3"/>
      <c r="B8" s="3" t="s">
        <v>2499</v>
      </c>
      <c r="C8" s="3"/>
      <c r="D8" s="3"/>
      <c r="E8" s="3"/>
      <c r="F8" s="3"/>
      <c r="G8" s="87">
        <f>Interims!AY126</f>
        <v>124482</v>
      </c>
      <c r="H8" s="87">
        <f>Interims!AZ126</f>
        <v>138038</v>
      </c>
      <c r="I8" s="87">
        <f>Interims!BA126</f>
        <v>146356</v>
      </c>
      <c r="J8" s="87">
        <f>Interims!BB126</f>
        <v>170375</v>
      </c>
      <c r="K8" s="87">
        <f>Interims!BC126</f>
        <v>159437</v>
      </c>
      <c r="L8" s="87">
        <f>Interims!BD126</f>
        <v>122354</v>
      </c>
      <c r="M8" s="87">
        <f>Interims!BE126</f>
        <v>161992</v>
      </c>
      <c r="N8" s="87">
        <f>Interims!BF126</f>
        <v>183236</v>
      </c>
      <c r="O8" s="87">
        <f>Interims!BG126</f>
        <v>170128</v>
      </c>
      <c r="P8" s="87">
        <f>Interims!BH126</f>
        <v>182627</v>
      </c>
      <c r="Q8" s="87">
        <f>Interims!BI126</f>
        <v>193030</v>
      </c>
      <c r="R8" s="87">
        <f>Interims!BJ126</f>
        <v>220940</v>
      </c>
      <c r="S8" s="87">
        <f>Interims!BK126</f>
        <v>226551</v>
      </c>
      <c r="T8" s="528">
        <f>Interims!BL126</f>
        <v>220661</v>
      </c>
      <c r="U8" s="528">
        <f>Interims!BM126</f>
        <v>209811</v>
      </c>
      <c r="V8" s="528">
        <f>Interims!BN126</f>
        <v>210878</v>
      </c>
      <c r="W8" s="528">
        <f>Interims!BO126</f>
        <v>187404</v>
      </c>
      <c r="X8" s="528">
        <f>Interims!BP126</f>
        <v>185211</v>
      </c>
      <c r="Y8" s="528">
        <f>Interims!BQ126</f>
        <v>199208</v>
      </c>
      <c r="Z8" s="528">
        <f>Interims!BR126</f>
        <v>210963</v>
      </c>
      <c r="AA8" s="457">
        <v>190000</v>
      </c>
      <c r="AB8" s="457">
        <v>205000</v>
      </c>
      <c r="AC8" s="457">
        <v>215000</v>
      </c>
      <c r="AD8" s="645">
        <f>Master!J153-AA8-AB8-AC8</f>
        <v>229031.72294926748</v>
      </c>
      <c r="AE8" s="645">
        <f>Master!J151</f>
        <v>599308.37353519106</v>
      </c>
      <c r="AF8" s="645">
        <f>Master!K151</f>
        <v>617664.98652976064</v>
      </c>
      <c r="AG8" s="5"/>
      <c r="AH8" s="87"/>
      <c r="AI8" s="87"/>
      <c r="AJ8" s="87"/>
      <c r="AK8" s="87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5">
        <f t="shared" ref="BA8:BK10" si="12">T8/P8-1</f>
        <v>0.20826055293028967</v>
      </c>
      <c r="BB8" s="5">
        <f t="shared" si="12"/>
        <v>8.6934673366834136E-2</v>
      </c>
      <c r="BC8" s="5">
        <f t="shared" si="12"/>
        <v>-4.5541776047795746E-2</v>
      </c>
      <c r="BD8" s="5">
        <f t="shared" si="12"/>
        <v>-0.17279552948342758</v>
      </c>
      <c r="BE8" s="5">
        <f t="shared" si="12"/>
        <v>-0.1606536723752725</v>
      </c>
      <c r="BF8" s="5">
        <f t="shared" si="12"/>
        <v>-5.0535958553174054E-2</v>
      </c>
      <c r="BG8" s="5">
        <f t="shared" si="12"/>
        <v>4.0307666043881696E-4</v>
      </c>
      <c r="BH8" s="5">
        <f t="shared" si="12"/>
        <v>1.3852425775330302E-2</v>
      </c>
      <c r="BI8" s="5">
        <f t="shared" si="12"/>
        <v>0.10684570570862428</v>
      </c>
      <c r="BJ8" s="5">
        <f t="shared" si="12"/>
        <v>7.9273924741978252E-2</v>
      </c>
      <c r="BK8" s="5">
        <f t="shared" si="12"/>
        <v>8.5648777033259238E-2</v>
      </c>
      <c r="BX8" s="528">
        <f>BX10-BX9</f>
        <v>196389</v>
      </c>
      <c r="BZ8" s="528">
        <v>202449.35248045227</v>
      </c>
    </row>
    <row r="9" spans="1:79">
      <c r="A9" s="3"/>
      <c r="B9" s="2" t="s">
        <v>782</v>
      </c>
      <c r="C9" s="2"/>
      <c r="D9" s="2"/>
      <c r="E9" s="2"/>
      <c r="F9" s="2"/>
      <c r="G9" s="379">
        <f>Interims!AY125</f>
        <v>5267</v>
      </c>
      <c r="H9" s="379">
        <f>Interims!AZ125</f>
        <v>5371</v>
      </c>
      <c r="I9" s="379">
        <f>Interims!BA125</f>
        <v>5311</v>
      </c>
      <c r="J9" s="379">
        <f>Interims!BB125</f>
        <v>6199</v>
      </c>
      <c r="K9" s="379">
        <v>4869</v>
      </c>
      <c r="L9" s="379">
        <v>4730</v>
      </c>
      <c r="M9" s="379">
        <v>4246</v>
      </c>
      <c r="N9" s="379">
        <v>4060</v>
      </c>
      <c r="O9" s="379">
        <v>3562</v>
      </c>
      <c r="P9" s="379">
        <v>3623</v>
      </c>
      <c r="Q9" s="379">
        <v>3806</v>
      </c>
      <c r="R9" s="379">
        <v>3975</v>
      </c>
      <c r="S9" s="452">
        <v>4035</v>
      </c>
      <c r="T9" s="452">
        <f>5945+2414</f>
        <v>8359</v>
      </c>
      <c r="U9" s="452">
        <f>7236+2455</f>
        <v>9691</v>
      </c>
      <c r="V9" s="452">
        <f>7180+2418</f>
        <v>9598</v>
      </c>
      <c r="W9" s="452">
        <f>6526+2262</f>
        <v>8788</v>
      </c>
      <c r="X9" s="452">
        <f>6921+2371</f>
        <v>9292</v>
      </c>
      <c r="Y9" s="452">
        <f>6947-766</f>
        <v>6181</v>
      </c>
      <c r="Z9" s="452">
        <f>7565+1166</f>
        <v>8731</v>
      </c>
      <c r="AA9" s="457">
        <f t="shared" ref="AA9:AC9" si="13">1.015*W9</f>
        <v>8919.82</v>
      </c>
      <c r="AB9" s="457">
        <f t="shared" si="13"/>
        <v>9431.3799999999992</v>
      </c>
      <c r="AC9" s="457">
        <f t="shared" si="13"/>
        <v>6273.7149999999992</v>
      </c>
      <c r="AD9" s="647">
        <f>Master!J156-AA9-AB9-AC9</f>
        <v>8862.98</v>
      </c>
      <c r="AE9" s="647">
        <f>Master!J156</f>
        <v>33487.894999999997</v>
      </c>
      <c r="AF9" s="647">
        <f>Master!K156</f>
        <v>34157.652900000001</v>
      </c>
      <c r="AG9" s="5"/>
      <c r="AH9" s="87"/>
      <c r="AI9" s="87"/>
      <c r="AJ9" s="87"/>
      <c r="AK9" s="87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5">
        <f t="shared" si="12"/>
        <v>1.3072039746066797</v>
      </c>
      <c r="BB9" s="5">
        <f t="shared" si="12"/>
        <v>1.546242774566474</v>
      </c>
      <c r="BC9" s="5">
        <f t="shared" si="12"/>
        <v>1.4145911949685535</v>
      </c>
      <c r="BD9" s="5">
        <f t="shared" si="12"/>
        <v>1.1779429987608427</v>
      </c>
      <c r="BE9" s="5">
        <f t="shared" si="12"/>
        <v>0.11161622203612875</v>
      </c>
      <c r="BF9" s="5">
        <f t="shared" si="12"/>
        <v>-0.36219172428026003</v>
      </c>
      <c r="BG9" s="5">
        <f t="shared" si="12"/>
        <v>-9.0331319024796852E-2</v>
      </c>
      <c r="BH9" s="5">
        <f t="shared" si="12"/>
        <v>1.4999999999999902E-2</v>
      </c>
      <c r="BI9" s="5">
        <f t="shared" si="12"/>
        <v>1.4999999999999902E-2</v>
      </c>
      <c r="BJ9" s="5">
        <f t="shared" si="12"/>
        <v>1.4999999999999902E-2</v>
      </c>
      <c r="BK9" s="5">
        <f t="shared" si="12"/>
        <v>1.5116252433856392E-2</v>
      </c>
      <c r="BX9" s="522">
        <v>9000</v>
      </c>
      <c r="BZ9" s="586">
        <v>10739</v>
      </c>
    </row>
    <row r="10" spans="1:79">
      <c r="A10" s="3"/>
      <c r="B10" s="3" t="s">
        <v>1083</v>
      </c>
      <c r="C10" s="3"/>
      <c r="D10" s="3"/>
      <c r="E10" s="3"/>
      <c r="F10" s="3"/>
      <c r="G10" s="87">
        <f t="shared" ref="G10:AC10" si="14">G8+G9</f>
        <v>129749</v>
      </c>
      <c r="H10" s="87">
        <f t="shared" si="14"/>
        <v>143409</v>
      </c>
      <c r="I10" s="87">
        <f t="shared" si="14"/>
        <v>151667</v>
      </c>
      <c r="J10" s="87">
        <f t="shared" si="14"/>
        <v>176574</v>
      </c>
      <c r="K10" s="87">
        <f t="shared" si="14"/>
        <v>164306</v>
      </c>
      <c r="L10" s="87">
        <f t="shared" si="14"/>
        <v>127084</v>
      </c>
      <c r="M10" s="87">
        <f t="shared" si="14"/>
        <v>166238</v>
      </c>
      <c r="N10" s="87">
        <f t="shared" si="14"/>
        <v>187296</v>
      </c>
      <c r="O10" s="87">
        <f t="shared" si="14"/>
        <v>173690</v>
      </c>
      <c r="P10" s="87">
        <f t="shared" si="14"/>
        <v>186250</v>
      </c>
      <c r="Q10" s="87">
        <f t="shared" si="14"/>
        <v>196836</v>
      </c>
      <c r="R10" s="87">
        <f t="shared" si="14"/>
        <v>224915</v>
      </c>
      <c r="S10" s="87">
        <f t="shared" si="14"/>
        <v>230586</v>
      </c>
      <c r="T10" s="87">
        <f t="shared" si="14"/>
        <v>229020</v>
      </c>
      <c r="U10" s="87">
        <f t="shared" si="14"/>
        <v>219502</v>
      </c>
      <c r="V10" s="87">
        <f t="shared" si="14"/>
        <v>220476</v>
      </c>
      <c r="W10" s="87">
        <f t="shared" si="14"/>
        <v>196192</v>
      </c>
      <c r="X10" s="87">
        <f t="shared" si="14"/>
        <v>194503</v>
      </c>
      <c r="Y10" s="87">
        <f t="shared" si="14"/>
        <v>205389</v>
      </c>
      <c r="Z10" s="87">
        <f t="shared" si="14"/>
        <v>219694</v>
      </c>
      <c r="AA10" s="577">
        <f t="shared" si="14"/>
        <v>198919.82</v>
      </c>
      <c r="AB10" s="577">
        <f t="shared" si="14"/>
        <v>214431.38</v>
      </c>
      <c r="AC10" s="577">
        <f t="shared" si="14"/>
        <v>221273.715</v>
      </c>
      <c r="AD10" s="645">
        <f>Master!J157-'New Ints'!AA10-'New Ints'!AB10-'New Ints'!AC10</f>
        <v>252351.47783208263</v>
      </c>
      <c r="AE10" s="645">
        <f>Master!J157</f>
        <v>886976.3928320827</v>
      </c>
      <c r="AF10" s="645">
        <f>Master!K157</f>
        <v>914144.18006404571</v>
      </c>
      <c r="AG10" s="3"/>
      <c r="AH10" s="87"/>
      <c r="AI10" s="87"/>
      <c r="AJ10" s="87"/>
      <c r="AK10" s="87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5">
        <f>S10/O10-1</f>
        <v>0.32757211123265595</v>
      </c>
      <c r="BA10" s="5">
        <f t="shared" si="12"/>
        <v>0.22963758389261746</v>
      </c>
      <c r="BB10" s="5">
        <f t="shared" si="12"/>
        <v>0.11515169989229612</v>
      </c>
      <c r="BC10" s="5">
        <f t="shared" si="12"/>
        <v>-1.9736344841384534E-2</v>
      </c>
      <c r="BD10" s="5">
        <f t="shared" si="12"/>
        <v>-0.14915909899126578</v>
      </c>
      <c r="BE10" s="5">
        <f t="shared" si="12"/>
        <v>-0.15071609466422142</v>
      </c>
      <c r="BF10" s="5">
        <f t="shared" si="12"/>
        <v>-6.4295541726271277E-2</v>
      </c>
      <c r="BG10" s="5">
        <f t="shared" si="12"/>
        <v>-3.5468713147915887E-3</v>
      </c>
      <c r="BH10" s="5">
        <f t="shared" si="12"/>
        <v>1.3903828902299908E-2</v>
      </c>
      <c r="BI10" s="5">
        <f t="shared" si="12"/>
        <v>0.10245795694667947</v>
      </c>
      <c r="BJ10" s="5">
        <f t="shared" si="12"/>
        <v>7.7339657917415261E-2</v>
      </c>
      <c r="BK10" s="5">
        <f t="shared" si="12"/>
        <v>0.14864983946799937</v>
      </c>
      <c r="BL10" s="174"/>
      <c r="BX10" s="528">
        <f>Interims!BQ235*Interims!BQ286</f>
        <v>205389</v>
      </c>
      <c r="BY10" s="5">
        <f>BX10/S10-1</f>
        <v>-0.10927376336811423</v>
      </c>
      <c r="BZ10" s="528">
        <v>213188.35248045227</v>
      </c>
      <c r="CA10" s="5">
        <v>-3.3054153375187023E-2</v>
      </c>
    </row>
    <row r="11" spans="1:79">
      <c r="A11" s="3"/>
      <c r="B11" s="3"/>
      <c r="C11" s="3"/>
      <c r="D11" s="3"/>
      <c r="E11" s="3"/>
      <c r="F11" s="3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3"/>
      <c r="AB11" s="3"/>
      <c r="AC11" s="3"/>
      <c r="AD11" s="87"/>
      <c r="AE11" s="87"/>
      <c r="AF11" s="87"/>
      <c r="AG11" s="3"/>
      <c r="AH11" s="87"/>
      <c r="AI11" s="87"/>
      <c r="AJ11" s="87"/>
      <c r="AK11" s="87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K11"/>
      <c r="BX11" s="87"/>
      <c r="BZ11" s="87"/>
    </row>
    <row r="12" spans="1:79">
      <c r="A12" s="3"/>
      <c r="B12" s="2" t="s">
        <v>2505</v>
      </c>
      <c r="C12" s="2"/>
      <c r="D12" s="2"/>
      <c r="E12" s="2"/>
      <c r="F12" s="2"/>
      <c r="G12" s="379">
        <f t="shared" ref="G12:U12" si="15">G13-G6-G8-G9</f>
        <v>4363</v>
      </c>
      <c r="H12" s="379">
        <f t="shared" si="15"/>
        <v>3765</v>
      </c>
      <c r="I12" s="379">
        <f t="shared" si="15"/>
        <v>3915</v>
      </c>
      <c r="J12" s="379">
        <f t="shared" si="15"/>
        <v>3854</v>
      </c>
      <c r="K12" s="379">
        <f t="shared" si="15"/>
        <v>6848</v>
      </c>
      <c r="L12" s="379">
        <f t="shared" si="15"/>
        <v>3485</v>
      </c>
      <c r="M12" s="379">
        <f t="shared" si="15"/>
        <v>2489</v>
      </c>
      <c r="N12" s="379">
        <f t="shared" si="15"/>
        <v>3024</v>
      </c>
      <c r="O12" s="379">
        <f t="shared" si="15"/>
        <v>3675</v>
      </c>
      <c r="P12" s="379">
        <f t="shared" si="15"/>
        <v>2331</v>
      </c>
      <c r="Q12" s="379">
        <f t="shared" si="15"/>
        <v>5606</v>
      </c>
      <c r="R12" s="379">
        <f t="shared" si="15"/>
        <v>1585</v>
      </c>
      <c r="S12" s="379">
        <f t="shared" si="15"/>
        <v>4706</v>
      </c>
      <c r="T12" s="379">
        <f t="shared" si="15"/>
        <v>10011</v>
      </c>
      <c r="U12" s="379">
        <f t="shared" si="15"/>
        <v>6891</v>
      </c>
      <c r="V12" s="379">
        <f t="shared" ref="V12:Z12" si="16">V13-V6-V8-V9</f>
        <v>6415</v>
      </c>
      <c r="W12" s="379">
        <f t="shared" si="16"/>
        <v>4815</v>
      </c>
      <c r="X12" s="379">
        <f t="shared" si="16"/>
        <v>5218</v>
      </c>
      <c r="Y12" s="379">
        <f t="shared" si="16"/>
        <v>8773</v>
      </c>
      <c r="Z12" s="379">
        <f t="shared" si="16"/>
        <v>4687</v>
      </c>
      <c r="AA12" s="457">
        <f>1.02*W12</f>
        <v>4911.3</v>
      </c>
      <c r="AB12" s="457">
        <f>1.02*X12</f>
        <v>5322.36</v>
      </c>
      <c r="AC12" s="457">
        <f>1.02*Y12</f>
        <v>8948.4600000000009</v>
      </c>
      <c r="AD12" s="645">
        <f>Master!J6-'New Ints'!AA12-'New Ints'!AB12-'New Ints'!AC12</f>
        <v>4717.8799999999992</v>
      </c>
      <c r="AE12" s="645">
        <f>Master!J6</f>
        <v>23900</v>
      </c>
      <c r="AF12" s="645">
        <f>Master!K6</f>
        <v>23900</v>
      </c>
      <c r="AG12" s="5"/>
      <c r="AH12" s="87"/>
      <c r="AI12" s="87"/>
      <c r="AJ12" s="87"/>
      <c r="AK12" s="87"/>
      <c r="AL12" s="3"/>
      <c r="AM12" s="3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>
        <f t="shared" ref="AZ12:BK13" si="17">S12/O12-1</f>
        <v>0.28054421768707494</v>
      </c>
      <c r="BA12" s="5">
        <f t="shared" si="17"/>
        <v>3.2947232947232949</v>
      </c>
      <c r="BB12" s="5">
        <f t="shared" si="17"/>
        <v>0.22921869425615404</v>
      </c>
      <c r="BC12" s="5">
        <f t="shared" si="17"/>
        <v>3.0473186119873814</v>
      </c>
      <c r="BD12" s="5">
        <f t="shared" si="17"/>
        <v>2.3161920951976223E-2</v>
      </c>
      <c r="BE12" s="5">
        <f t="shared" si="17"/>
        <v>-0.47877334931575266</v>
      </c>
      <c r="BF12" s="5">
        <f t="shared" si="17"/>
        <v>0.27310985343201266</v>
      </c>
      <c r="BG12" s="5">
        <f t="shared" si="17"/>
        <v>-0.26936866718628216</v>
      </c>
      <c r="BH12" s="5">
        <f t="shared" si="17"/>
        <v>2.0000000000000018E-2</v>
      </c>
      <c r="BI12" s="5">
        <f t="shared" si="17"/>
        <v>2.0000000000000018E-2</v>
      </c>
      <c r="BJ12" s="5">
        <f t="shared" si="17"/>
        <v>2.0000000000000018E-2</v>
      </c>
      <c r="BK12" s="5">
        <f t="shared" si="17"/>
        <v>6.5884360998504921E-3</v>
      </c>
      <c r="BL12" s="174"/>
      <c r="BX12" s="522">
        <v>7000</v>
      </c>
      <c r="BY12" s="5">
        <f>BX12/S12-1</f>
        <v>0.48746281342966435</v>
      </c>
      <c r="BZ12" s="87">
        <v>9217</v>
      </c>
      <c r="CA12" s="5">
        <v>0.43678877630553381</v>
      </c>
    </row>
    <row r="13" spans="1:79">
      <c r="A13" s="3"/>
      <c r="B13" s="3" t="s">
        <v>2507</v>
      </c>
      <c r="C13" s="3"/>
      <c r="D13" s="3"/>
      <c r="E13" s="3"/>
      <c r="F13" s="3"/>
      <c r="G13" s="87">
        <f>Interims!AY128</f>
        <v>474785</v>
      </c>
      <c r="H13" s="87">
        <f>Interims!AZ128</f>
        <v>485439</v>
      </c>
      <c r="I13" s="87">
        <f>Interims!BA128</f>
        <v>498488</v>
      </c>
      <c r="J13" s="87">
        <f>J14-201000-6600</f>
        <v>531232</v>
      </c>
      <c r="K13" s="266">
        <f>530735-9900</f>
        <v>520835</v>
      </c>
      <c r="L13" s="266">
        <f>476094-14800</f>
        <v>461294</v>
      </c>
      <c r="M13" s="266">
        <f>543040-3500-3500</f>
        <v>536040</v>
      </c>
      <c r="N13" s="266">
        <f>597646-5400-3.1*Interims!BF288</f>
        <v>589890</v>
      </c>
      <c r="O13" s="87">
        <v>568759</v>
      </c>
      <c r="P13" s="266">
        <f>608453-10300</f>
        <v>598153</v>
      </c>
      <c r="Q13" s="87">
        <v>623346</v>
      </c>
      <c r="R13" s="87">
        <v>659561</v>
      </c>
      <c r="S13" s="266">
        <v>649941</v>
      </c>
      <c r="T13" s="266">
        <f>1149567-485800</f>
        <v>663767</v>
      </c>
      <c r="U13" s="266">
        <f>695595-59299</f>
        <v>636296</v>
      </c>
      <c r="V13" s="266">
        <v>642606</v>
      </c>
      <c r="W13" s="266">
        <v>613338</v>
      </c>
      <c r="X13" s="266">
        <v>617723</v>
      </c>
      <c r="Y13" s="266">
        <v>617438</v>
      </c>
      <c r="Z13" s="266">
        <v>724642</v>
      </c>
      <c r="AA13" s="577">
        <f>AA6+AA10+AA12</f>
        <v>626470.39500000002</v>
      </c>
      <c r="AB13" s="577">
        <f>AB6+AB10+AB12</f>
        <v>648205.78999999992</v>
      </c>
      <c r="AC13" s="577">
        <f>AC6+AC10+AC12</f>
        <v>643580.07499999995</v>
      </c>
      <c r="AD13" s="646">
        <f>Master!J7-'New Ints'!AA13-'New Ints'!AB13-'New Ints'!AC13</f>
        <v>716590.09283208265</v>
      </c>
      <c r="AE13" s="646">
        <f>Master!J7</f>
        <v>2634846.3528320827</v>
      </c>
      <c r="AF13" s="646">
        <f>Master!K7</f>
        <v>2693994.3051640457</v>
      </c>
      <c r="AG13" s="3"/>
      <c r="AH13" s="87"/>
      <c r="AI13" s="87"/>
      <c r="AJ13" s="87"/>
      <c r="AK13" s="87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5">
        <f t="shared" si="17"/>
        <v>0.142735323748723</v>
      </c>
      <c r="BA13" s="5">
        <f t="shared" si="17"/>
        <v>0.10969434241740816</v>
      </c>
      <c r="BB13" s="5">
        <f t="shared" si="17"/>
        <v>2.0774978904172015E-2</v>
      </c>
      <c r="BC13" s="5">
        <f t="shared" si="17"/>
        <v>-2.570649265193059E-2</v>
      </c>
      <c r="BD13" s="5">
        <f t="shared" si="17"/>
        <v>-5.6317419581161987E-2</v>
      </c>
      <c r="BE13" s="5">
        <f t="shared" si="17"/>
        <v>-6.9367714875852471E-2</v>
      </c>
      <c r="BF13" s="5">
        <f t="shared" si="17"/>
        <v>-2.9637150005657698E-2</v>
      </c>
      <c r="BG13" s="5">
        <f t="shared" si="17"/>
        <v>0.12766142862033658</v>
      </c>
      <c r="BH13" s="5">
        <f t="shared" si="17"/>
        <v>2.1411350674505725E-2</v>
      </c>
      <c r="BI13" s="5">
        <f t="shared" si="17"/>
        <v>4.9347021237674316E-2</v>
      </c>
      <c r="BJ13" s="5">
        <f t="shared" si="17"/>
        <v>4.2339595230614258E-2</v>
      </c>
      <c r="BK13" s="5">
        <f t="shared" si="17"/>
        <v>-1.1111565666794609E-2</v>
      </c>
      <c r="BL13" s="174"/>
      <c r="BX13" s="87">
        <f>BX6+BX10+BX12</f>
        <v>642257.005</v>
      </c>
      <c r="BY13" s="5">
        <f>BX13/S13-1</f>
        <v>-1.1822603897892248E-2</v>
      </c>
      <c r="BZ13" s="577">
        <v>635052.54248045199</v>
      </c>
      <c r="CA13" s="5">
        <v>-1.1754414866260166E-2</v>
      </c>
    </row>
    <row r="14" spans="1:79">
      <c r="A14" s="3"/>
      <c r="B14" s="3" t="s">
        <v>2508</v>
      </c>
      <c r="C14" s="3"/>
      <c r="D14" s="3"/>
      <c r="E14" s="3"/>
      <c r="F14" s="3"/>
      <c r="G14" s="87"/>
      <c r="H14" s="87"/>
      <c r="I14" s="87"/>
      <c r="J14" s="87">
        <f>738832</f>
        <v>738832</v>
      </c>
      <c r="K14" s="5"/>
      <c r="L14" s="5"/>
      <c r="M14" s="5"/>
      <c r="N14" s="5"/>
      <c r="O14" s="5"/>
      <c r="P14" s="480"/>
      <c r="Q14" s="3"/>
      <c r="R14" s="5"/>
      <c r="S14" s="5"/>
      <c r="T14" s="5"/>
      <c r="U14" s="5"/>
      <c r="V14" s="87"/>
      <c r="W14" s="5"/>
      <c r="X14" s="87"/>
      <c r="Y14" s="87"/>
      <c r="Z14" s="5"/>
      <c r="AA14" s="3"/>
      <c r="AB14" s="3"/>
      <c r="AC14" s="3"/>
      <c r="AD14" s="5"/>
      <c r="AE14" s="5"/>
      <c r="AF14" s="5"/>
      <c r="AG14" s="3"/>
      <c r="AH14" s="57"/>
      <c r="AI14" s="57"/>
      <c r="AJ14" s="57"/>
      <c r="AK14" s="57"/>
      <c r="AL14" s="3"/>
      <c r="AM14" s="3"/>
      <c r="AN14" s="3"/>
      <c r="AO14" s="3"/>
      <c r="AP14" s="3"/>
      <c r="AQ14" s="3"/>
      <c r="AR14" s="3"/>
      <c r="BK14"/>
      <c r="BX14" s="87"/>
      <c r="BZ14" s="57"/>
    </row>
    <row r="15" spans="1:79">
      <c r="A15" s="3"/>
      <c r="B15" s="3"/>
      <c r="C15" s="3"/>
      <c r="D15" s="3"/>
      <c r="E15" s="3"/>
      <c r="F15" s="3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5"/>
      <c r="V15" s="87"/>
      <c r="W15" s="87"/>
      <c r="X15" s="87"/>
      <c r="Y15" s="87"/>
      <c r="Z15" s="87"/>
      <c r="AA15" s="3"/>
      <c r="AB15" s="3"/>
      <c r="AC15" s="3"/>
      <c r="AD15" s="87"/>
      <c r="AE15" s="87"/>
      <c r="AF15" s="87"/>
      <c r="AG15" s="3"/>
      <c r="AH15" s="87"/>
      <c r="AI15" s="87"/>
      <c r="AJ15" s="87"/>
      <c r="AK15" s="87"/>
      <c r="AL15" s="3"/>
      <c r="AM15" s="3"/>
      <c r="AN15" s="3"/>
      <c r="AO15" s="3"/>
      <c r="AP15" s="3"/>
      <c r="AQ15" s="3"/>
      <c r="AR15" s="3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K15"/>
      <c r="BX15" s="87"/>
      <c r="BZ15" s="87"/>
    </row>
    <row r="16" spans="1:79">
      <c r="A16" s="3"/>
      <c r="B16" s="95" t="s">
        <v>2815</v>
      </c>
      <c r="C16" s="3"/>
      <c r="D16" s="3"/>
      <c r="E16" s="3"/>
      <c r="F16" s="3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5"/>
      <c r="V16" s="87"/>
      <c r="W16" s="87"/>
      <c r="X16" s="87"/>
      <c r="Y16" s="87"/>
      <c r="Z16" s="87"/>
      <c r="AA16" s="3"/>
      <c r="AB16" s="3"/>
      <c r="AC16" s="3"/>
      <c r="AD16" s="87"/>
      <c r="AE16" s="87"/>
      <c r="AF16" s="87"/>
      <c r="AG16" s="3"/>
      <c r="AH16" s="87"/>
      <c r="AI16" s="87"/>
      <c r="AJ16" s="87"/>
      <c r="AK16" s="87"/>
      <c r="AL16" s="3"/>
      <c r="AM16" s="3"/>
      <c r="AN16" s="3"/>
      <c r="AO16" s="3"/>
      <c r="AP16" s="3"/>
      <c r="AQ16" s="3"/>
      <c r="AR16" s="3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K16"/>
      <c r="BX16" s="87"/>
      <c r="BZ16" s="87"/>
    </row>
    <row r="17" spans="1:79">
      <c r="A17" s="3"/>
      <c r="B17" s="3" t="s">
        <v>0</v>
      </c>
      <c r="C17" s="3"/>
      <c r="D17" s="3"/>
      <c r="E17" s="3"/>
      <c r="F17" s="3"/>
      <c r="G17" s="87">
        <f>Interims!AY4</f>
        <v>9357</v>
      </c>
      <c r="H17" s="87">
        <f>Interims!AZ4</f>
        <v>9291</v>
      </c>
      <c r="I17" s="87">
        <f>Interims!BA4</f>
        <v>9239</v>
      </c>
      <c r="J17" s="87">
        <f>Interims!BB4</f>
        <v>9092</v>
      </c>
      <c r="K17" s="87">
        <f>Interims!BC4</f>
        <v>8986</v>
      </c>
      <c r="L17" s="87">
        <f>Interims!BD4</f>
        <v>8775</v>
      </c>
      <c r="M17" s="87">
        <f>Interims!BE4</f>
        <v>9209</v>
      </c>
      <c r="N17" s="87">
        <f>Interims!BF4</f>
        <v>9300</v>
      </c>
      <c r="O17" s="87">
        <f>Interims!BG4</f>
        <v>9566</v>
      </c>
      <c r="P17" s="87">
        <f>Interims!BH4</f>
        <v>9802</v>
      </c>
      <c r="Q17" s="87">
        <v>9952</v>
      </c>
      <c r="R17" s="87">
        <v>10166</v>
      </c>
      <c r="S17" s="266">
        <v>10298</v>
      </c>
      <c r="T17" s="266">
        <v>10150</v>
      </c>
      <c r="U17" s="266">
        <v>10176</v>
      </c>
      <c r="V17" s="266">
        <v>10421</v>
      </c>
      <c r="W17" s="266">
        <v>10527</v>
      </c>
      <c r="X17" s="266">
        <v>10467</v>
      </c>
      <c r="Y17" s="266">
        <f>8286+2371</f>
        <v>10657</v>
      </c>
      <c r="Z17" s="266">
        <v>10594</v>
      </c>
      <c r="AA17" s="457">
        <f>Z17+30</f>
        <v>10624</v>
      </c>
      <c r="AB17" s="457">
        <v>10660</v>
      </c>
      <c r="AC17" s="457">
        <f>AB17+30</f>
        <v>10690</v>
      </c>
      <c r="AD17" s="457">
        <v>10714</v>
      </c>
      <c r="AE17" s="457"/>
      <c r="AF17" s="457"/>
      <c r="AG17" s="3"/>
      <c r="AH17" s="457"/>
      <c r="AI17" s="457"/>
      <c r="AJ17" s="457"/>
      <c r="AK17" s="457"/>
      <c r="AL17" s="3"/>
      <c r="AM17" s="3"/>
      <c r="AN17" s="87"/>
      <c r="AO17" s="3"/>
      <c r="AP17" s="3"/>
      <c r="AQ17" s="3"/>
      <c r="AR17" s="5">
        <f t="shared" ref="AR17:BA20" si="18">K17/G17-1</f>
        <v>-3.9649460297103811E-2</v>
      </c>
      <c r="AS17" s="5">
        <f t="shared" si="18"/>
        <v>-5.5537617048756815E-2</v>
      </c>
      <c r="AT17" s="5">
        <f t="shared" si="18"/>
        <v>-3.2471046650069946E-3</v>
      </c>
      <c r="AU17" s="5">
        <f t="shared" si="18"/>
        <v>2.2877254729432472E-2</v>
      </c>
      <c r="AV17" s="5">
        <f t="shared" si="18"/>
        <v>6.4544847540618733E-2</v>
      </c>
      <c r="AW17" s="5">
        <f t="shared" si="18"/>
        <v>0.11703703703703705</v>
      </c>
      <c r="AX17" s="5">
        <f t="shared" si="18"/>
        <v>8.0681941578890193E-2</v>
      </c>
      <c r="AY17" s="5">
        <f t="shared" si="18"/>
        <v>9.3118279569892382E-2</v>
      </c>
      <c r="AZ17" s="8">
        <f t="shared" si="18"/>
        <v>7.6521011917206838E-2</v>
      </c>
      <c r="BA17" s="8">
        <f t="shared" si="18"/>
        <v>3.5502958579881616E-2</v>
      </c>
      <c r="BB17" s="8">
        <f t="shared" ref="BB17:BK20" si="19">U17/Q17-1</f>
        <v>2.2508038585209E-2</v>
      </c>
      <c r="BC17" s="8">
        <f t="shared" si="19"/>
        <v>2.5083612040133874E-2</v>
      </c>
      <c r="BD17" s="8">
        <f t="shared" si="19"/>
        <v>2.2237327636434268E-2</v>
      </c>
      <c r="BE17" s="8">
        <f t="shared" si="19"/>
        <v>3.1231527093596112E-2</v>
      </c>
      <c r="BF17" s="8">
        <f t="shared" si="19"/>
        <v>4.7268081761006275E-2</v>
      </c>
      <c r="BG17" s="8">
        <f t="shared" si="19"/>
        <v>1.6601093944918821E-2</v>
      </c>
      <c r="BH17" s="8">
        <f t="shared" si="19"/>
        <v>9.2144010639307883E-3</v>
      </c>
      <c r="BI17" s="8">
        <f t="shared" si="19"/>
        <v>1.8438903219642588E-2</v>
      </c>
      <c r="BJ17" s="8">
        <f t="shared" si="19"/>
        <v>3.0965562541052094E-3</v>
      </c>
      <c r="BK17" s="8">
        <f t="shared" si="19"/>
        <v>1.1327166320558746E-2</v>
      </c>
      <c r="BL17" s="60"/>
      <c r="BX17" s="457">
        <f>1.03*S17</f>
        <v>10606.94</v>
      </c>
      <c r="BY17" s="8">
        <f>BX17/S17-1</f>
        <v>3.0000000000000027E-2</v>
      </c>
      <c r="BZ17" s="457">
        <v>10733.630000000001</v>
      </c>
      <c r="CA17" s="8">
        <v>3.0000000000000027E-2</v>
      </c>
    </row>
    <row r="18" spans="1:79">
      <c r="A18" s="3"/>
      <c r="B18" s="3" t="s">
        <v>399</v>
      </c>
      <c r="C18" s="3"/>
      <c r="D18" s="3"/>
      <c r="E18" s="3"/>
      <c r="F18" s="3"/>
      <c r="G18" s="87">
        <f>Interims!AY15</f>
        <v>7049</v>
      </c>
      <c r="H18" s="87">
        <f>Interims!AZ15</f>
        <v>6767</v>
      </c>
      <c r="I18" s="87">
        <f>Interims!BA15</f>
        <v>6893</v>
      </c>
      <c r="J18" s="87">
        <f>Interims!BB15</f>
        <v>6955</v>
      </c>
      <c r="K18" s="87">
        <f>Interims!BC15</f>
        <v>7338</v>
      </c>
      <c r="L18" s="87">
        <f>Interims!BD15</f>
        <v>7168</v>
      </c>
      <c r="M18" s="87">
        <f>Interims!BE15</f>
        <v>7362</v>
      </c>
      <c r="N18" s="87">
        <f>Interims!BF15</f>
        <v>7483</v>
      </c>
      <c r="O18" s="87">
        <f>Interims!BG15</f>
        <v>7395</v>
      </c>
      <c r="P18" s="87">
        <f>Interims!BH15</f>
        <v>7472</v>
      </c>
      <c r="Q18" s="87">
        <v>7332</v>
      </c>
      <c r="R18" s="87">
        <v>7338</v>
      </c>
      <c r="S18" s="266">
        <v>7037</v>
      </c>
      <c r="T18" s="266">
        <v>7080</v>
      </c>
      <c r="U18" s="266">
        <v>7080</v>
      </c>
      <c r="V18" s="266">
        <v>7032</v>
      </c>
      <c r="W18" s="266">
        <v>7029</v>
      </c>
      <c r="X18" s="266">
        <v>6956</v>
      </c>
      <c r="Y18" s="266">
        <v>6844</v>
      </c>
      <c r="Z18" s="266">
        <v>6839</v>
      </c>
      <c r="AA18" s="457">
        <f>0.99*W18</f>
        <v>6958.71</v>
      </c>
      <c r="AB18" s="457">
        <f>0.995*X18</f>
        <v>6921.22</v>
      </c>
      <c r="AC18" s="457">
        <f>0.995*Y18</f>
        <v>6809.78</v>
      </c>
      <c r="AD18" s="457">
        <f>0.995*Z18</f>
        <v>6804.8050000000003</v>
      </c>
      <c r="AE18" s="457"/>
      <c r="AF18" s="457"/>
      <c r="AG18" s="3"/>
      <c r="AH18" s="87"/>
      <c r="AI18" s="87"/>
      <c r="AJ18" s="87"/>
      <c r="AK18" s="87"/>
      <c r="AL18" s="3"/>
      <c r="AM18" s="3"/>
      <c r="AN18" s="87"/>
      <c r="AO18" s="3"/>
      <c r="AP18" s="3"/>
      <c r="AQ18" s="3"/>
      <c r="AR18" s="5">
        <f t="shared" si="18"/>
        <v>4.0998723223152123E-2</v>
      </c>
      <c r="AS18" s="5">
        <f t="shared" si="18"/>
        <v>5.9258164622432385E-2</v>
      </c>
      <c r="AT18" s="5">
        <f t="shared" si="18"/>
        <v>6.8040040620919839E-2</v>
      </c>
      <c r="AU18" s="5">
        <f t="shared" si="18"/>
        <v>7.5916606757728156E-2</v>
      </c>
      <c r="AV18" s="5">
        <f t="shared" si="18"/>
        <v>7.7677841373671175E-3</v>
      </c>
      <c r="AW18" s="5">
        <f t="shared" si="18"/>
        <v>4.2410714285714191E-2</v>
      </c>
      <c r="AX18" s="5">
        <f t="shared" si="18"/>
        <v>-4.0749796251018378E-3</v>
      </c>
      <c r="AY18" s="5">
        <f t="shared" si="18"/>
        <v>-1.9377255111586278E-2</v>
      </c>
      <c r="AZ18" s="8">
        <f t="shared" si="18"/>
        <v>-4.8411088573360406E-2</v>
      </c>
      <c r="BA18" s="8">
        <f t="shared" si="18"/>
        <v>-5.2462526766595241E-2</v>
      </c>
      <c r="BB18" s="8">
        <f t="shared" si="19"/>
        <v>-3.4369885433715219E-2</v>
      </c>
      <c r="BC18" s="8">
        <f t="shared" si="19"/>
        <v>-4.1700735895339291E-2</v>
      </c>
      <c r="BD18" s="8">
        <f t="shared" si="19"/>
        <v>-1.1368480886742027E-3</v>
      </c>
      <c r="BE18" s="8">
        <f t="shared" si="19"/>
        <v>-1.7514124293785294E-2</v>
      </c>
      <c r="BF18" s="8">
        <f t="shared" si="19"/>
        <v>-3.3333333333333326E-2</v>
      </c>
      <c r="BG18" s="8">
        <f t="shared" si="19"/>
        <v>-2.7445961319681467E-2</v>
      </c>
      <c r="BH18" s="8">
        <f t="shared" si="19"/>
        <v>-1.0000000000000009E-2</v>
      </c>
      <c r="BI18" s="8">
        <f t="shared" si="19"/>
        <v>-5.0000000000000044E-3</v>
      </c>
      <c r="BJ18" s="8">
        <f t="shared" si="19"/>
        <v>-5.0000000000000044E-3</v>
      </c>
      <c r="BK18" s="8">
        <f t="shared" si="19"/>
        <v>-5.0000000000000044E-3</v>
      </c>
      <c r="BL18" s="60"/>
      <c r="BX18" s="457">
        <f>S18*0.96</f>
        <v>6755.5199999999995</v>
      </c>
      <c r="BY18" s="8">
        <f>BX18/S18-1</f>
        <v>-4.0000000000000036E-2</v>
      </c>
      <c r="BZ18" s="457">
        <v>6891.36</v>
      </c>
      <c r="CA18" s="8">
        <v>-2.0000000000000018E-2</v>
      </c>
    </row>
    <row r="19" spans="1:79">
      <c r="A19" s="3"/>
      <c r="B19" s="3" t="s">
        <v>2815</v>
      </c>
      <c r="C19" s="3"/>
      <c r="D19" s="3"/>
      <c r="E19" s="3"/>
      <c r="F19" s="3"/>
      <c r="G19" s="87">
        <f t="shared" ref="G19:W19" si="20">G18*3*AVERAGE(F17,G17)/1000</f>
        <v>197872.47899999999</v>
      </c>
      <c r="H19" s="87">
        <f t="shared" si="20"/>
        <v>189286.524</v>
      </c>
      <c r="I19" s="87">
        <f t="shared" si="20"/>
        <v>191590.935</v>
      </c>
      <c r="J19" s="87">
        <f t="shared" si="20"/>
        <v>191238.1575</v>
      </c>
      <c r="K19" s="87">
        <f t="shared" si="20"/>
        <v>198984.546</v>
      </c>
      <c r="L19" s="87">
        <f t="shared" si="20"/>
        <v>190966.272</v>
      </c>
      <c r="M19" s="87">
        <f t="shared" si="20"/>
        <v>198597.31200000001</v>
      </c>
      <c r="N19" s="87">
        <f t="shared" si="20"/>
        <v>207754.27050000001</v>
      </c>
      <c r="O19" s="87">
        <f t="shared" si="20"/>
        <v>209271.10500000001</v>
      </c>
      <c r="P19" s="87">
        <f t="shared" si="20"/>
        <v>217076.54399999999</v>
      </c>
      <c r="Q19" s="87">
        <f t="shared" si="20"/>
        <v>217254.492</v>
      </c>
      <c r="R19" s="87">
        <f t="shared" si="20"/>
        <v>221438.826</v>
      </c>
      <c r="S19" s="87">
        <f t="shared" si="20"/>
        <v>216007.75200000001</v>
      </c>
      <c r="T19" s="87">
        <f t="shared" si="20"/>
        <v>217157.76000000001</v>
      </c>
      <c r="U19" s="87">
        <f t="shared" si="20"/>
        <v>215862.12</v>
      </c>
      <c r="V19" s="87">
        <f t="shared" si="20"/>
        <v>217257.15599999999</v>
      </c>
      <c r="W19" s="87">
        <f t="shared" si="20"/>
        <v>220865.23800000001</v>
      </c>
      <c r="X19" s="87">
        <f>X18*3*AVERAGE(BX17,X17)/1000</f>
        <v>219885.48996000004</v>
      </c>
      <c r="Y19" s="87">
        <f>Y18*3*AVERAGE(X17,Y17)/1000</f>
        <v>216858.984</v>
      </c>
      <c r="Z19" s="87">
        <f t="shared" ref="Z19" si="21">Z18*3*AVERAGE(Y17,Z17)/1000</f>
        <v>218003.3835</v>
      </c>
      <c r="AA19" s="87">
        <f>AA18*3*AVERAGE(Z17,AA17)/1000</f>
        <v>221474.86317000003</v>
      </c>
      <c r="AB19" s="87">
        <f t="shared" ref="AB19:AD19" si="22">AB18*3*AVERAGE(AA17,AB17)/1000</f>
        <v>220966.86971999999</v>
      </c>
      <c r="AC19" s="87">
        <f t="shared" si="22"/>
        <v>218083.20449999999</v>
      </c>
      <c r="AD19" s="87">
        <f t="shared" si="22"/>
        <v>218475.06933000003</v>
      </c>
      <c r="AE19" s="87"/>
      <c r="AF19" s="87"/>
      <c r="AG19" s="5"/>
      <c r="AH19" s="87"/>
      <c r="AI19" s="87"/>
      <c r="AJ19" s="87"/>
      <c r="AK19" s="87"/>
      <c r="AL19" s="3"/>
      <c r="AM19" s="3"/>
      <c r="AN19" s="3"/>
      <c r="AO19" s="3"/>
      <c r="AP19" s="3"/>
      <c r="AQ19" s="3"/>
      <c r="AR19" s="5">
        <f t="shared" si="18"/>
        <v>5.6201196124905373E-3</v>
      </c>
      <c r="AS19" s="5">
        <f t="shared" si="18"/>
        <v>8.8741024162923843E-3</v>
      </c>
      <c r="AT19" s="5">
        <f t="shared" si="18"/>
        <v>3.6569459823347028E-2</v>
      </c>
      <c r="AU19" s="5">
        <f t="shared" si="18"/>
        <v>8.6364108585390564E-2</v>
      </c>
      <c r="AV19" s="5">
        <f t="shared" si="18"/>
        <v>5.169526582230155E-2</v>
      </c>
      <c r="AW19" s="5">
        <f t="shared" si="18"/>
        <v>0.13672713891592325</v>
      </c>
      <c r="AX19" s="5">
        <f t="shared" si="18"/>
        <v>9.3944776050141066E-2</v>
      </c>
      <c r="AY19" s="5">
        <f t="shared" si="18"/>
        <v>6.5868949249830111E-2</v>
      </c>
      <c r="AZ19" s="8">
        <f t="shared" si="18"/>
        <v>3.219100410446063E-2</v>
      </c>
      <c r="BA19" s="8">
        <f t="shared" si="18"/>
        <v>3.7413530961694086E-4</v>
      </c>
      <c r="BB19" s="8">
        <f t="shared" si="19"/>
        <v>-6.4089445846763349E-3</v>
      </c>
      <c r="BC19" s="8">
        <f t="shared" si="19"/>
        <v>-1.8884086749990314E-2</v>
      </c>
      <c r="BD19" s="8">
        <f t="shared" si="19"/>
        <v>2.2487554057782244E-2</v>
      </c>
      <c r="BE19" s="8">
        <f t="shared" si="19"/>
        <v>1.2561052204627776E-2</v>
      </c>
      <c r="BF19" s="8">
        <f t="shared" si="19"/>
        <v>4.6180589720883347E-3</v>
      </c>
      <c r="BG19" s="8">
        <f t="shared" si="19"/>
        <v>3.4347660336675467E-3</v>
      </c>
      <c r="BH19" s="8">
        <f t="shared" si="19"/>
        <v>2.7601680351347913E-3</v>
      </c>
      <c r="BI19" s="8">
        <f t="shared" si="19"/>
        <v>4.9179223249187221E-3</v>
      </c>
      <c r="BJ19" s="8">
        <f t="shared" si="19"/>
        <v>5.6452376443854035E-3</v>
      </c>
      <c r="BK19" s="8">
        <f t="shared" si="19"/>
        <v>2.1636628864525331E-3</v>
      </c>
      <c r="BL19" s="60"/>
      <c r="BX19" s="87">
        <f>BX18*3*AVERAGE(V17,BX17)/1000</f>
        <v>213082.00384319999</v>
      </c>
      <c r="BY19" s="8">
        <f>BX19/S19-1</f>
        <v>-1.3544644253323024E-2</v>
      </c>
      <c r="BZ19" s="87">
        <v>221115.79793519998</v>
      </c>
      <c r="CA19" s="8">
        <v>1.7760712725154226E-2</v>
      </c>
    </row>
    <row r="20" spans="1:79">
      <c r="A20" s="3"/>
      <c r="B20" s="3" t="s">
        <v>731</v>
      </c>
      <c r="C20" s="3"/>
      <c r="D20" s="3"/>
      <c r="E20" s="3"/>
      <c r="F20" s="3"/>
      <c r="G20" s="87">
        <f t="shared" ref="G20:W20" si="23">G3-G19</f>
        <v>42706.521000000008</v>
      </c>
      <c r="H20" s="87">
        <f t="shared" si="23"/>
        <v>41742.475999999995</v>
      </c>
      <c r="I20" s="87">
        <f t="shared" si="23"/>
        <v>45855.065000000002</v>
      </c>
      <c r="J20" s="87">
        <f t="shared" si="23"/>
        <v>50184.842499999999</v>
      </c>
      <c r="K20" s="87">
        <f t="shared" si="23"/>
        <v>44825.453999999998</v>
      </c>
      <c r="L20" s="87">
        <f t="shared" si="23"/>
        <v>33785.728000000003</v>
      </c>
      <c r="M20" s="87">
        <f t="shared" si="23"/>
        <v>63696.687999999995</v>
      </c>
      <c r="N20" s="87">
        <f t="shared" si="23"/>
        <v>77820.729499999987</v>
      </c>
      <c r="O20" s="87">
        <f t="shared" si="23"/>
        <v>72191.89499999999</v>
      </c>
      <c r="P20" s="87">
        <f t="shared" si="23"/>
        <v>80342.456000000006</v>
      </c>
      <c r="Q20" s="87">
        <f t="shared" si="23"/>
        <v>79664.508000000002</v>
      </c>
      <c r="R20" s="87">
        <f t="shared" si="23"/>
        <v>90447.173999999999</v>
      </c>
      <c r="S20" s="87">
        <f t="shared" si="23"/>
        <v>76485.247999999992</v>
      </c>
      <c r="T20" s="87">
        <f t="shared" si="23"/>
        <v>84388.239999999991</v>
      </c>
      <c r="U20" s="87">
        <f t="shared" ref="U20" si="24">U3-U19</f>
        <v>68129.88</v>
      </c>
      <c r="V20" s="87">
        <f t="shared" si="23"/>
        <v>71577.844000000012</v>
      </c>
      <c r="W20" s="87">
        <f t="shared" si="23"/>
        <v>68749.761999999988</v>
      </c>
      <c r="X20" s="87">
        <f>X3-X19</f>
        <v>64011.510039999965</v>
      </c>
      <c r="Y20" s="87">
        <f>Y3-Y19</f>
        <v>61371.016000000003</v>
      </c>
      <c r="Z20" s="87">
        <f>Z3-Z19</f>
        <v>91265.616500000004</v>
      </c>
      <c r="AA20" s="457">
        <v>70500</v>
      </c>
      <c r="AB20" s="457">
        <v>66000</v>
      </c>
      <c r="AC20" s="457">
        <v>63000</v>
      </c>
      <c r="AD20" s="457">
        <f>AD3-AD19</f>
        <v>94121.103280000098</v>
      </c>
      <c r="AE20" s="87"/>
      <c r="AF20" s="87"/>
      <c r="AG20" s="3"/>
      <c r="AH20" s="87"/>
      <c r="AI20" s="87"/>
      <c r="AJ20" s="87"/>
      <c r="AK20" s="87"/>
      <c r="AL20" s="3"/>
      <c r="AM20" s="3"/>
      <c r="AN20" s="3"/>
      <c r="AO20" s="3"/>
      <c r="AP20" s="3"/>
      <c r="AQ20" s="3"/>
      <c r="AR20" s="5">
        <f t="shared" si="18"/>
        <v>4.961614644283463E-2</v>
      </c>
      <c r="AS20" s="5">
        <f t="shared" si="18"/>
        <v>-0.19061514223545328</v>
      </c>
      <c r="AT20" s="5">
        <f t="shared" si="18"/>
        <v>0.38908729057520675</v>
      </c>
      <c r="AU20" s="5">
        <f t="shared" si="18"/>
        <v>0.55068195142786358</v>
      </c>
      <c r="AV20" s="5">
        <f t="shared" si="18"/>
        <v>0.61051118411427563</v>
      </c>
      <c r="AW20" s="5">
        <f t="shared" si="18"/>
        <v>1.3779998465624299</v>
      </c>
      <c r="AX20" s="5">
        <f t="shared" si="18"/>
        <v>0.2506852475594965</v>
      </c>
      <c r="AY20" s="5">
        <f t="shared" si="18"/>
        <v>0.16225040013278225</v>
      </c>
      <c r="AZ20" s="8">
        <f t="shared" si="18"/>
        <v>5.947139910927679E-2</v>
      </c>
      <c r="BA20" s="8">
        <f t="shared" si="18"/>
        <v>5.0356737912019778E-2</v>
      </c>
      <c r="BB20" s="8">
        <f t="shared" si="19"/>
        <v>-0.1447900487881002</v>
      </c>
      <c r="BC20" s="8">
        <f t="shared" si="19"/>
        <v>-0.20862265967535909</v>
      </c>
      <c r="BD20" s="8">
        <f t="shared" si="19"/>
        <v>-0.10113696696126295</v>
      </c>
      <c r="BE20" s="8">
        <f t="shared" si="19"/>
        <v>-0.24146409452312345</v>
      </c>
      <c r="BF20" s="8">
        <f t="shared" si="19"/>
        <v>-9.9205576173038934E-2</v>
      </c>
      <c r="BG20" s="8">
        <f t="shared" si="19"/>
        <v>0.275054002744201</v>
      </c>
      <c r="BH20" s="8">
        <f t="shared" si="19"/>
        <v>2.5458095404025105E-2</v>
      </c>
      <c r="BI20" s="8">
        <f t="shared" si="19"/>
        <v>3.1064568837033457E-2</v>
      </c>
      <c r="BJ20" s="8">
        <f t="shared" si="19"/>
        <v>2.6543213819370415E-2</v>
      </c>
      <c r="BK20" s="8">
        <f t="shared" si="19"/>
        <v>3.1287651248157466E-2</v>
      </c>
      <c r="BL20" s="60"/>
      <c r="BX20" s="87">
        <f>BX3-BX19</f>
        <v>92573.181156800012</v>
      </c>
      <c r="BY20" s="8">
        <f>BX20/S20-1</f>
        <v>0.21034034114395528</v>
      </c>
      <c r="BZ20" s="87">
        <v>70670.882064799953</v>
      </c>
      <c r="CA20" s="8">
        <v>-1.2670987061304317E-2</v>
      </c>
    </row>
    <row r="21" spans="1:79">
      <c r="A21" s="3"/>
      <c r="B21" s="3" t="s">
        <v>3319</v>
      </c>
      <c r="C21" s="3"/>
      <c r="D21" s="3"/>
      <c r="E21" s="3"/>
      <c r="F21" s="3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627">
        <v>0.06</v>
      </c>
      <c r="T21" s="627">
        <v>0</v>
      </c>
      <c r="U21" s="627">
        <v>-6.0000000000000001E-3</v>
      </c>
      <c r="V21" s="627">
        <v>-7.4999999999999997E-2</v>
      </c>
      <c r="W21" s="627">
        <v>1.7999999999999999E-2</v>
      </c>
      <c r="X21" s="627">
        <v>4.0000000000000001E-3</v>
      </c>
      <c r="Y21" s="627">
        <v>4.0000000000000001E-3</v>
      </c>
      <c r="Z21" s="627">
        <v>7.4999999999999997E-2</v>
      </c>
      <c r="AA21" s="3"/>
      <c r="AB21" s="3"/>
      <c r="AC21" s="3"/>
      <c r="AD21" s="87"/>
      <c r="AE21" s="87"/>
      <c r="AF21" s="87"/>
      <c r="AG21" s="3"/>
      <c r="AH21" s="87"/>
      <c r="AI21" s="87"/>
      <c r="AJ21" s="87"/>
      <c r="AK21" s="87"/>
      <c r="AL21" s="3"/>
      <c r="AM21" s="3"/>
      <c r="AN21" s="3"/>
      <c r="AO21" s="3"/>
      <c r="AP21" s="3"/>
      <c r="AQ21" s="3"/>
      <c r="AR21" s="3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621"/>
      <c r="BX21" s="87"/>
      <c r="BY21" s="15"/>
      <c r="BZ21" s="87"/>
      <c r="CA21" s="15"/>
    </row>
    <row r="22" spans="1:79">
      <c r="A22" s="3"/>
      <c r="B22" s="648" t="s">
        <v>3323</v>
      </c>
      <c r="C22" s="3"/>
      <c r="D22" s="3"/>
      <c r="E22" s="3"/>
      <c r="F22" s="3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627">
        <v>0.05</v>
      </c>
      <c r="T22" s="627">
        <v>0.03</v>
      </c>
      <c r="U22" s="628"/>
      <c r="V22" s="87"/>
      <c r="W22" s="628"/>
      <c r="X22" s="628"/>
      <c r="Y22" s="628"/>
      <c r="Z22" s="628"/>
      <c r="AA22" s="3"/>
      <c r="AB22" s="3"/>
      <c r="AC22" s="3"/>
      <c r="AD22" s="87"/>
      <c r="AE22" s="87"/>
      <c r="AF22" s="87"/>
      <c r="AG22" s="3"/>
      <c r="AH22" s="87"/>
      <c r="AI22" s="87"/>
      <c r="AJ22" s="87"/>
      <c r="AK22" s="87"/>
      <c r="AL22" s="3"/>
      <c r="AM22" s="3"/>
      <c r="AN22" s="3"/>
      <c r="AO22" s="3"/>
      <c r="AP22" s="3"/>
      <c r="AQ22" s="3"/>
      <c r="AR22" s="3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621"/>
      <c r="BX22" s="87"/>
      <c r="BY22" s="15"/>
      <c r="BZ22" s="87"/>
      <c r="CA22" s="15"/>
    </row>
    <row r="23" spans="1:79">
      <c r="A23" s="3"/>
      <c r="B23" s="649" t="s">
        <v>3320</v>
      </c>
      <c r="C23" s="3"/>
      <c r="D23" s="3"/>
      <c r="E23" s="3"/>
      <c r="F23" s="3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627">
        <v>0.03</v>
      </c>
      <c r="V23" s="87"/>
      <c r="W23" s="627">
        <v>3.9E-2</v>
      </c>
      <c r="X23" s="627">
        <v>2.8000000000000001E-2</v>
      </c>
      <c r="Y23" s="627">
        <v>2.3E-2</v>
      </c>
      <c r="Z23" s="627">
        <v>3.7999999999999999E-2</v>
      </c>
      <c r="AA23" s="3"/>
      <c r="AB23" s="3"/>
      <c r="AC23" s="3"/>
      <c r="AD23" s="87"/>
      <c r="AE23" s="87"/>
      <c r="AF23" s="87"/>
      <c r="AG23" s="3"/>
      <c r="AH23" s="87"/>
      <c r="AI23" s="87"/>
      <c r="AJ23" s="87"/>
      <c r="AK23" s="87"/>
      <c r="AL23" s="3"/>
      <c r="AM23" s="3"/>
      <c r="AN23" s="3"/>
      <c r="AO23" s="3"/>
      <c r="AP23" s="3"/>
      <c r="AQ23" s="3"/>
      <c r="AR23" s="3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621"/>
      <c r="BX23" s="87"/>
      <c r="BY23" s="15"/>
      <c r="BZ23" s="87"/>
      <c r="CA23" s="15"/>
    </row>
    <row r="24" spans="1:79">
      <c r="A24" s="3"/>
      <c r="B24" s="649" t="s">
        <v>3321</v>
      </c>
      <c r="C24" s="3"/>
      <c r="D24" s="3"/>
      <c r="E24" s="3"/>
      <c r="F24" s="3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627">
        <v>-0.13</v>
      </c>
      <c r="V24" s="87"/>
      <c r="W24" s="627">
        <v>-0.20200000000000001</v>
      </c>
      <c r="X24" s="627">
        <v>-0.21299999999999999</v>
      </c>
      <c r="Y24" s="627">
        <v>-0.23</v>
      </c>
      <c r="Z24" s="627">
        <v>-0.16800000000000001</v>
      </c>
      <c r="AA24" s="3"/>
      <c r="AB24" s="3"/>
      <c r="AC24" s="3"/>
      <c r="AD24" s="87"/>
      <c r="AE24" s="87"/>
      <c r="AF24" s="87"/>
      <c r="AG24" s="3"/>
      <c r="AH24" s="87"/>
      <c r="AI24" s="87"/>
      <c r="AJ24" s="87"/>
      <c r="AK24" s="87"/>
      <c r="AL24" s="3"/>
      <c r="AM24" s="3"/>
      <c r="AN24" s="3"/>
      <c r="AO24" s="3"/>
      <c r="AP24" s="3"/>
      <c r="AQ24" s="3"/>
      <c r="AR24" s="3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621"/>
      <c r="BX24" s="87"/>
      <c r="BY24" s="15"/>
      <c r="BZ24" s="87"/>
      <c r="CA24" s="15"/>
    </row>
    <row r="25" spans="1:79">
      <c r="A25" s="3"/>
      <c r="B25" s="648" t="s">
        <v>3322</v>
      </c>
      <c r="C25" s="3"/>
      <c r="D25" s="3"/>
      <c r="E25" s="3"/>
      <c r="F25" s="3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627">
        <v>-0.04</v>
      </c>
      <c r="T25" s="627">
        <v>-0.1</v>
      </c>
      <c r="U25" s="627">
        <v>-0.12</v>
      </c>
      <c r="V25" s="627">
        <v>-0.04</v>
      </c>
      <c r="W25" s="627">
        <v>7.6999999999999999E-2</v>
      </c>
      <c r="X25" s="627">
        <v>4.0000000000000001E-3</v>
      </c>
      <c r="Y25" s="627">
        <v>2.9000000000000001E-2</v>
      </c>
      <c r="Z25" s="627">
        <v>-2E-3</v>
      </c>
      <c r="AA25" s="3"/>
      <c r="AB25" s="3"/>
      <c r="AC25" s="3"/>
      <c r="AD25" s="87"/>
      <c r="AE25" s="87"/>
      <c r="AF25" s="87"/>
      <c r="AG25" s="3"/>
      <c r="AH25" s="87"/>
      <c r="AI25" s="87"/>
      <c r="AJ25" s="87"/>
      <c r="AK25" s="87"/>
      <c r="AL25" s="3"/>
      <c r="AM25" s="3"/>
      <c r="AN25" s="3"/>
      <c r="AO25" s="3"/>
      <c r="AP25" s="3"/>
      <c r="AQ25" s="3"/>
      <c r="AR25" s="3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621"/>
      <c r="BX25" s="87"/>
      <c r="BY25" s="15"/>
      <c r="BZ25" s="87"/>
      <c r="CA25" s="15"/>
    </row>
    <row r="26" spans="1:79">
      <c r="A26" s="3"/>
      <c r="B26" s="3"/>
      <c r="C26" s="3"/>
      <c r="D26" s="3"/>
      <c r="E26" s="3"/>
      <c r="F26" s="3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3"/>
      <c r="AB26" s="3"/>
      <c r="AC26" s="3"/>
      <c r="AD26" s="87"/>
      <c r="AE26" s="87"/>
      <c r="AF26" s="87"/>
      <c r="AG26" s="3"/>
      <c r="AH26" s="87"/>
      <c r="AI26" s="87"/>
      <c r="AJ26" s="87"/>
      <c r="AK26" s="87"/>
      <c r="AL26" s="3"/>
      <c r="AM26" s="3"/>
      <c r="AN26" s="3"/>
      <c r="AO26" s="3"/>
      <c r="AP26" s="3"/>
      <c r="AQ26" s="3"/>
      <c r="AR26" s="3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621"/>
      <c r="BX26" s="87"/>
      <c r="BY26" s="15"/>
      <c r="BZ26" s="87"/>
      <c r="CA26" s="15"/>
    </row>
    <row r="27" spans="1:79">
      <c r="A27" s="3"/>
      <c r="B27" s="3"/>
      <c r="C27" s="3"/>
      <c r="D27" s="3"/>
      <c r="E27" s="3"/>
      <c r="F27" s="3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3"/>
      <c r="AB27" s="3"/>
      <c r="AC27" s="3"/>
      <c r="AD27" s="87"/>
      <c r="AE27" s="87"/>
      <c r="AF27" s="87"/>
      <c r="AG27" s="3"/>
      <c r="AH27" s="87"/>
      <c r="AI27" s="87"/>
      <c r="AJ27" s="87"/>
      <c r="AK27" s="87"/>
      <c r="AL27" s="3"/>
      <c r="AM27" s="3"/>
      <c r="AN27" s="3"/>
      <c r="AO27" s="3"/>
      <c r="AP27" s="3"/>
      <c r="AQ27" s="3"/>
      <c r="AR27" s="3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621"/>
      <c r="BX27" s="87"/>
      <c r="BY27" s="15"/>
      <c r="BZ27" s="87"/>
      <c r="CA27" s="15"/>
    </row>
    <row r="28" spans="1:79">
      <c r="A28" s="3"/>
      <c r="B28" s="3"/>
      <c r="C28" s="3"/>
      <c r="D28" s="3"/>
      <c r="E28" s="3"/>
      <c r="F28" s="3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3"/>
      <c r="AB28" s="3"/>
      <c r="AC28" s="3"/>
      <c r="AD28" s="87"/>
      <c r="AE28" s="87"/>
      <c r="AF28" s="87"/>
      <c r="AG28" s="3"/>
      <c r="AH28" s="87"/>
      <c r="AI28" s="87"/>
      <c r="AJ28" s="87"/>
      <c r="AK28" s="87"/>
      <c r="AL28" s="3"/>
      <c r="AM28" s="3"/>
      <c r="AN28" s="3"/>
      <c r="AO28" s="3"/>
      <c r="AP28" s="3"/>
      <c r="AQ28" s="3"/>
      <c r="AR28" s="3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621"/>
      <c r="BX28" s="87"/>
      <c r="BY28" s="15"/>
      <c r="BZ28" s="87"/>
      <c r="CA28" s="15"/>
    </row>
    <row r="29" spans="1:79">
      <c r="A29" s="3"/>
      <c r="B29" s="3"/>
      <c r="C29" s="3"/>
      <c r="D29" s="3"/>
      <c r="E29" s="3"/>
      <c r="F29" s="3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3"/>
      <c r="AB29" s="3"/>
      <c r="AC29" s="3"/>
      <c r="AD29" s="87"/>
      <c r="AE29" s="87"/>
      <c r="AF29" s="87"/>
      <c r="AG29" s="3"/>
      <c r="AH29" s="87"/>
      <c r="AI29" s="87"/>
      <c r="AJ29" s="87"/>
      <c r="AK29" s="87"/>
      <c r="AL29" s="3"/>
      <c r="AM29" s="3"/>
      <c r="AN29" s="3"/>
      <c r="AO29" s="3"/>
      <c r="AP29" s="3"/>
      <c r="AQ29" s="3"/>
      <c r="AR29" s="3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621"/>
      <c r="BX29" s="87"/>
      <c r="BY29" s="15"/>
      <c r="BZ29" s="87"/>
      <c r="CA29" s="15"/>
    </row>
    <row r="30" spans="1:79">
      <c r="A30" s="3"/>
      <c r="B30" s="3"/>
      <c r="C30" s="3"/>
      <c r="D30" s="3"/>
      <c r="E30" s="3"/>
      <c r="F30" s="3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3"/>
      <c r="AB30" s="3"/>
      <c r="AC30" s="3"/>
      <c r="AD30" s="87"/>
      <c r="AE30" s="87"/>
      <c r="AF30" s="87"/>
      <c r="AG30" s="3"/>
      <c r="AH30" s="87"/>
      <c r="AI30" s="87"/>
      <c r="AJ30" s="87"/>
      <c r="AK30" s="87"/>
      <c r="AL30" s="3"/>
      <c r="AM30" s="3"/>
      <c r="AN30" s="3"/>
      <c r="AO30" s="3"/>
      <c r="AP30" s="3"/>
      <c r="AQ30" s="3"/>
      <c r="AR30" s="3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621"/>
      <c r="BX30" s="87"/>
      <c r="BY30" s="15"/>
      <c r="BZ30" s="87"/>
      <c r="CA30" s="15"/>
    </row>
    <row r="31" spans="1:79">
      <c r="A31" s="3"/>
      <c r="B31" s="95" t="s">
        <v>3056</v>
      </c>
      <c r="C31" s="95"/>
      <c r="D31" s="95"/>
      <c r="E31" s="95"/>
      <c r="F31" s="95"/>
      <c r="G31" s="467"/>
      <c r="H31" s="467"/>
      <c r="I31" s="467"/>
      <c r="J31" s="467"/>
      <c r="K31" s="467"/>
      <c r="L31" s="467"/>
      <c r="M31" s="467"/>
      <c r="N31" s="467">
        <f>N19+N4+N8</f>
        <v>501464.27049999998</v>
      </c>
      <c r="O31" s="467">
        <f>O19+O4+O8</f>
        <v>481508.10499999998</v>
      </c>
      <c r="P31" s="467">
        <f>P19+P4+P8</f>
        <v>509066.54399999999</v>
      </c>
      <c r="Q31" s="467">
        <f>Q19+Q4+Q8</f>
        <v>524245.49199999997</v>
      </c>
      <c r="R31" s="467">
        <f>R19+R4+(N8*(1+Interims!BJ252))</f>
        <v>514083.826</v>
      </c>
      <c r="S31" s="467">
        <f>S19+S4+(O8*(1+Interims!BK252))</f>
        <v>523035.67200000002</v>
      </c>
      <c r="T31" s="467">
        <f>T19+T4+(P8*(1+Interims!BL252))</f>
        <v>527900.19000000006</v>
      </c>
      <c r="U31" s="467">
        <f>U19+U4+(Q8*(1+Interims!BM252))</f>
        <v>542087.73</v>
      </c>
      <c r="V31" s="467">
        <f>V19+V4+(R8*(1+Interims!BN252))</f>
        <v>573760.35599999991</v>
      </c>
      <c r="W31" s="467">
        <f>W19+W4+(S8*(1+Interims!BO252))</f>
        <v>570838.23699999996</v>
      </c>
      <c r="X31" s="467">
        <f>X19+X4+(T8*(1+Interims!BP252))</f>
        <v>572268.62496000004</v>
      </c>
      <c r="Y31" s="467">
        <f>Y19+Y4+(U8*(1+Interims!BQ252))</f>
        <v>551078.424</v>
      </c>
      <c r="Z31" s="467">
        <f>Z19+Z4+(V8*(1+Interims!BR252))</f>
        <v>561945.55349999992</v>
      </c>
      <c r="AA31" s="467"/>
      <c r="AB31" s="467"/>
      <c r="AC31" s="467"/>
      <c r="AD31" s="467"/>
      <c r="AE31" s="467"/>
      <c r="AF31" s="467"/>
      <c r="AG31" s="3"/>
      <c r="AH31" s="467"/>
      <c r="AI31" s="467"/>
      <c r="AJ31" s="467"/>
      <c r="AK31" s="467"/>
      <c r="AL31" s="95"/>
      <c r="AM31" s="95"/>
      <c r="AN31" s="95"/>
      <c r="AO31" s="95"/>
      <c r="AP31" s="95"/>
      <c r="AQ31" s="95"/>
      <c r="AR31" s="95"/>
      <c r="AS31" s="569"/>
      <c r="AT31" s="569"/>
      <c r="AU31" s="569"/>
      <c r="AV31" s="569"/>
      <c r="AW31" s="569"/>
      <c r="AX31" s="569"/>
      <c r="AY31" s="302">
        <f t="shared" ref="AY31:BG31" si="25">R31/N31-1</f>
        <v>2.5165413056083441E-2</v>
      </c>
      <c r="AZ31" s="302">
        <f t="shared" si="25"/>
        <v>8.6244793324922409E-2</v>
      </c>
      <c r="BA31" s="302">
        <f t="shared" si="25"/>
        <v>3.699643243497075E-2</v>
      </c>
      <c r="BB31" s="302">
        <f t="shared" si="25"/>
        <v>3.403412766017655E-2</v>
      </c>
      <c r="BC31" s="302">
        <f t="shared" si="25"/>
        <v>0.11608326693398041</v>
      </c>
      <c r="BD31" s="302">
        <f t="shared" si="25"/>
        <v>9.1394464200139636E-2</v>
      </c>
      <c r="BE31" s="302">
        <f t="shared" si="25"/>
        <v>8.4047014569174516E-2</v>
      </c>
      <c r="BF31" s="302">
        <f t="shared" si="25"/>
        <v>1.6585311753874343E-2</v>
      </c>
      <c r="BG31" s="302">
        <f t="shared" si="25"/>
        <v>-2.0591876689368238E-2</v>
      </c>
      <c r="BH31" s="302"/>
      <c r="BI31" s="302"/>
      <c r="BJ31" s="302"/>
      <c r="BK31" s="302"/>
      <c r="BL31" s="62"/>
      <c r="BX31" s="467"/>
      <c r="BY31" s="302">
        <f>BX31/S31-1</f>
        <v>-1</v>
      </c>
      <c r="BZ31" s="467"/>
      <c r="CA31" s="302">
        <v>-1</v>
      </c>
    </row>
    <row r="32" spans="1:79">
      <c r="A32" s="3"/>
      <c r="B32" s="3"/>
      <c r="C32" s="3"/>
      <c r="D32" s="3"/>
      <c r="E32" s="3"/>
      <c r="F32" s="3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3"/>
      <c r="AB32" s="3"/>
      <c r="AC32" s="3"/>
      <c r="AD32" s="87"/>
      <c r="AE32" s="87"/>
      <c r="AF32" s="87"/>
      <c r="AG32" s="3"/>
      <c r="AH32" s="87"/>
      <c r="AI32" s="87"/>
      <c r="AJ32" s="87"/>
      <c r="AK32" s="87"/>
      <c r="AL32" s="3"/>
      <c r="AM32" s="3"/>
      <c r="AN32" s="3"/>
      <c r="AO32" s="3"/>
      <c r="AP32" s="3"/>
      <c r="AQ32" s="3"/>
      <c r="AR32" s="3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K32"/>
      <c r="BX32" s="87"/>
      <c r="BZ32" s="87"/>
    </row>
    <row r="33" spans="1:79">
      <c r="A33" s="3"/>
      <c r="B33" s="455" t="s">
        <v>2502</v>
      </c>
      <c r="C33" s="13" t="str">
        <f>Interims!AU122</f>
        <v>Q1 18</v>
      </c>
      <c r="D33" s="13" t="str">
        <f>Interims!AV122</f>
        <v>Q2 18</v>
      </c>
      <c r="E33" s="13" t="str">
        <f>Interims!AW122</f>
        <v>Q3 18</v>
      </c>
      <c r="F33" s="13" t="str">
        <f>Interims!AX122</f>
        <v>Q4 18</v>
      </c>
      <c r="G33" s="13" t="str">
        <f>Interims!AY122</f>
        <v>Q1 19</v>
      </c>
      <c r="H33" s="13" t="str">
        <f>Interims!AZ122</f>
        <v>Q2 19</v>
      </c>
      <c r="I33" s="13" t="str">
        <f>Interims!BA122</f>
        <v>Q3 19</v>
      </c>
      <c r="J33" s="13" t="str">
        <f>Interims!BB122</f>
        <v>Q4 19</v>
      </c>
      <c r="K33" s="13" t="str">
        <f>Interims!BC122</f>
        <v>Q1 20</v>
      </c>
      <c r="L33" s="13" t="str">
        <f>Interims!BD122</f>
        <v>Q2 20</v>
      </c>
      <c r="M33" s="13" t="str">
        <f>Interims!BE122</f>
        <v>Q3 20</v>
      </c>
      <c r="N33" s="13" t="str">
        <f>Interims!BF122</f>
        <v>Q4 20</v>
      </c>
      <c r="O33" s="13" t="str">
        <f>Interims!BG122</f>
        <v>Q1 21</v>
      </c>
      <c r="P33" s="13" t="str">
        <f>Interims!BH122</f>
        <v>Q2 21</v>
      </c>
      <c r="Q33" s="13" t="str">
        <f>Interims!BI122</f>
        <v>Q3 21</v>
      </c>
      <c r="R33" s="13" t="str">
        <f t="shared" ref="R33:AF33" si="26">R2</f>
        <v>Q4 21</v>
      </c>
      <c r="S33" s="13" t="str">
        <f t="shared" si="26"/>
        <v>Q1 22</v>
      </c>
      <c r="T33" s="13" t="str">
        <f t="shared" si="26"/>
        <v>Q2 22</v>
      </c>
      <c r="U33" s="13" t="str">
        <f t="shared" si="26"/>
        <v>Q3 22</v>
      </c>
      <c r="V33" s="13" t="str">
        <f t="shared" si="26"/>
        <v>Q4 22</v>
      </c>
      <c r="W33" s="13" t="str">
        <f t="shared" si="26"/>
        <v>Q1 23</v>
      </c>
      <c r="X33" s="13" t="str">
        <f t="shared" si="26"/>
        <v>Q2 23</v>
      </c>
      <c r="Y33" s="13" t="str">
        <f t="shared" si="26"/>
        <v>Q3 23</v>
      </c>
      <c r="Z33" s="13" t="str">
        <f t="shared" si="26"/>
        <v>Q4 23</v>
      </c>
      <c r="AA33" s="13" t="str">
        <f t="shared" si="26"/>
        <v>Q1 24e</v>
      </c>
      <c r="AB33" s="13" t="str">
        <f t="shared" si="26"/>
        <v>Q2 24e</v>
      </c>
      <c r="AC33" s="13" t="str">
        <f t="shared" si="26"/>
        <v>Q3 24e</v>
      </c>
      <c r="AD33" s="13" t="str">
        <f t="shared" si="26"/>
        <v>Q4 24e</v>
      </c>
      <c r="AE33" s="13">
        <f t="shared" si="26"/>
        <v>2024</v>
      </c>
      <c r="AF33" s="13">
        <f t="shared" si="26"/>
        <v>2025</v>
      </c>
      <c r="AG33" s="3"/>
      <c r="AH33" s="403"/>
      <c r="AI33" s="403"/>
      <c r="AJ33" s="403"/>
      <c r="AK33" s="40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K33"/>
      <c r="BX33" s="13" t="str">
        <f>BX2</f>
        <v>Q1 23e</v>
      </c>
      <c r="BZ33" s="13" t="s">
        <v>3079</v>
      </c>
    </row>
    <row r="34" spans="1:79">
      <c r="A34" s="3"/>
      <c r="B34" s="3" t="s">
        <v>28</v>
      </c>
      <c r="C34" s="3"/>
      <c r="D34" s="3"/>
      <c r="E34" s="3"/>
      <c r="F34" s="3"/>
      <c r="G34" s="87">
        <v>102308</v>
      </c>
      <c r="H34" s="87">
        <v>91005</v>
      </c>
      <c r="I34" s="87">
        <v>100443</v>
      </c>
      <c r="J34" s="87">
        <v>99658</v>
      </c>
      <c r="K34" s="87">
        <v>106311</v>
      </c>
      <c r="L34" s="87">
        <v>101954</v>
      </c>
      <c r="M34" s="87">
        <v>108817</v>
      </c>
      <c r="N34" s="87">
        <v>119276</v>
      </c>
      <c r="O34" s="87">
        <v>119515</v>
      </c>
      <c r="P34" s="87">
        <v>129828</v>
      </c>
      <c r="Q34" s="87">
        <v>131351</v>
      </c>
      <c r="R34" s="87">
        <v>123533</v>
      </c>
      <c r="S34" s="266">
        <v>125826</v>
      </c>
      <c r="T34" s="266">
        <v>125040</v>
      </c>
      <c r="U34" s="266">
        <v>116733</v>
      </c>
      <c r="V34" s="266">
        <v>115847</v>
      </c>
      <c r="W34" s="266">
        <v>113039</v>
      </c>
      <c r="X34" s="266">
        <v>123516</v>
      </c>
      <c r="Y34" s="266">
        <v>118513</v>
      </c>
      <c r="Z34" s="266">
        <v>117566</v>
      </c>
      <c r="AA34" s="3"/>
      <c r="AB34" s="3"/>
      <c r="AC34" s="3"/>
      <c r="AD34" s="87"/>
      <c r="AE34" s="87"/>
      <c r="AF34" s="87"/>
      <c r="AG34" s="3"/>
      <c r="AH34" s="87"/>
      <c r="AI34" s="87"/>
      <c r="AJ34" s="87"/>
      <c r="AK34" s="87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K34"/>
      <c r="BX34" s="457"/>
      <c r="BZ34" s="87"/>
    </row>
    <row r="35" spans="1:79">
      <c r="A35" s="3"/>
      <c r="B35" s="3" t="s">
        <v>29</v>
      </c>
      <c r="C35" s="3"/>
      <c r="D35" s="3"/>
      <c r="E35" s="3"/>
      <c r="F35" s="3"/>
      <c r="G35" s="87">
        <v>28650</v>
      </c>
      <c r="H35" s="87">
        <v>32832</v>
      </c>
      <c r="I35" s="87">
        <v>29671</v>
      </c>
      <c r="J35" s="87">
        <v>31104</v>
      </c>
      <c r="K35" s="87">
        <v>25655</v>
      </c>
      <c r="L35" s="87">
        <v>27656</v>
      </c>
      <c r="M35" s="87">
        <v>24201</v>
      </c>
      <c r="N35" s="87">
        <v>30777</v>
      </c>
      <c r="O35" s="87">
        <v>22062</v>
      </c>
      <c r="P35" s="87">
        <v>28777</v>
      </c>
      <c r="Q35" s="87">
        <v>26924</v>
      </c>
      <c r="R35" s="87">
        <v>29349</v>
      </c>
      <c r="S35" s="266">
        <v>20676</v>
      </c>
      <c r="T35" s="266">
        <v>25639</v>
      </c>
      <c r="U35" s="266">
        <v>19496</v>
      </c>
      <c r="V35" s="266">
        <v>21347</v>
      </c>
      <c r="W35" s="266">
        <v>10183</v>
      </c>
      <c r="X35" s="266">
        <v>21826</v>
      </c>
      <c r="Y35" s="266">
        <v>15549</v>
      </c>
      <c r="Z35" s="266">
        <v>19301</v>
      </c>
      <c r="AA35" s="3"/>
      <c r="AB35" s="3"/>
      <c r="AC35" s="3"/>
      <c r="AD35" s="87"/>
      <c r="AE35" s="87"/>
      <c r="AF35" s="87"/>
      <c r="AG35" s="3"/>
      <c r="AH35" s="87"/>
      <c r="AI35" s="87"/>
      <c r="AJ35" s="87"/>
      <c r="AK35" s="87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K35"/>
      <c r="BX35" s="87"/>
      <c r="BZ35" s="87"/>
    </row>
    <row r="36" spans="1:79">
      <c r="A36" s="3"/>
      <c r="B36" s="2" t="s">
        <v>20</v>
      </c>
      <c r="C36" s="2"/>
      <c r="D36" s="2"/>
      <c r="E36" s="2"/>
      <c r="F36" s="2"/>
      <c r="G36" s="379">
        <f t="shared" ref="G36:Q36" si="27">G37-G34-G35</f>
        <v>-319</v>
      </c>
      <c r="H36" s="379">
        <f t="shared" si="27"/>
        <v>69</v>
      </c>
      <c r="I36" s="379">
        <f t="shared" si="27"/>
        <v>-651</v>
      </c>
      <c r="J36" s="379">
        <f t="shared" si="27"/>
        <v>73.5</v>
      </c>
      <c r="K36" s="379">
        <f t="shared" si="27"/>
        <v>10145</v>
      </c>
      <c r="L36" s="379">
        <f t="shared" si="27"/>
        <v>12044</v>
      </c>
      <c r="M36" s="379">
        <f t="shared" si="27"/>
        <v>4099</v>
      </c>
      <c r="N36" s="379">
        <f t="shared" si="27"/>
        <v>6391</v>
      </c>
      <c r="O36" s="379">
        <f t="shared" si="27"/>
        <v>5584</v>
      </c>
      <c r="P36" s="379">
        <f t="shared" si="27"/>
        <v>10171</v>
      </c>
      <c r="Q36" s="379">
        <f t="shared" si="27"/>
        <v>6985</v>
      </c>
      <c r="R36" s="379">
        <v>1267</v>
      </c>
      <c r="S36" s="379">
        <f t="shared" ref="S36:Y36" si="28">S37-S34-S35</f>
        <v>263</v>
      </c>
      <c r="T36" s="379">
        <f t="shared" si="28"/>
        <v>486393</v>
      </c>
      <c r="U36" s="379">
        <f t="shared" si="28"/>
        <v>242</v>
      </c>
      <c r="V36" s="379">
        <f t="shared" si="28"/>
        <v>-12238</v>
      </c>
      <c r="W36" s="379">
        <f t="shared" si="28"/>
        <v>96</v>
      </c>
      <c r="X36" s="379">
        <f t="shared" si="28"/>
        <v>-216</v>
      </c>
      <c r="Y36" s="379">
        <f t="shared" si="28"/>
        <v>-316</v>
      </c>
      <c r="Z36" s="379">
        <f t="shared" ref="Z36" si="29">Z37-Z34-Z35</f>
        <v>53241</v>
      </c>
      <c r="AA36" s="2"/>
      <c r="AB36" s="2"/>
      <c r="AC36" s="2"/>
      <c r="AD36" s="379"/>
      <c r="AE36" s="87"/>
      <c r="AF36" s="87"/>
      <c r="AG36" s="3"/>
      <c r="AH36" s="87"/>
      <c r="AI36" s="87"/>
      <c r="AJ36" s="87"/>
      <c r="AK36" s="87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K36"/>
      <c r="BX36" s="379"/>
      <c r="BZ36" s="379"/>
    </row>
    <row r="37" spans="1:79">
      <c r="A37" s="3"/>
      <c r="B37" s="3" t="s">
        <v>2504</v>
      </c>
      <c r="C37" s="3">
        <v>113758</v>
      </c>
      <c r="D37" s="87">
        <v>110493</v>
      </c>
      <c r="E37" s="3">
        <v>121870</v>
      </c>
      <c r="F37" s="3">
        <v>126249</v>
      </c>
      <c r="G37" s="87">
        <v>130639</v>
      </c>
      <c r="H37" s="87">
        <v>123906</v>
      </c>
      <c r="I37" s="87">
        <v>129463</v>
      </c>
      <c r="J37" s="87">
        <f>247445-J53</f>
        <v>130835.5</v>
      </c>
      <c r="K37" s="87">
        <v>142111</v>
      </c>
      <c r="L37" s="87">
        <f>141654-L53</f>
        <v>141654</v>
      </c>
      <c r="M37" s="87">
        <v>137117</v>
      </c>
      <c r="N37" s="87">
        <v>156444</v>
      </c>
      <c r="O37" s="87">
        <v>147161</v>
      </c>
      <c r="P37" s="87">
        <v>168776</v>
      </c>
      <c r="Q37" s="87">
        <v>165260</v>
      </c>
      <c r="R37" s="87">
        <v>153830</v>
      </c>
      <c r="S37" s="266">
        <v>146765</v>
      </c>
      <c r="T37" s="266">
        <f>637072</f>
        <v>637072</v>
      </c>
      <c r="U37" s="266">
        <v>136471</v>
      </c>
      <c r="V37" s="266">
        <v>124956</v>
      </c>
      <c r="W37" s="266">
        <v>123318</v>
      </c>
      <c r="X37" s="266">
        <v>145126</v>
      </c>
      <c r="Y37" s="266">
        <v>133746</v>
      </c>
      <c r="Z37" s="266">
        <v>190108</v>
      </c>
      <c r="AA37" s="528">
        <f t="shared" ref="AA37:AF37" si="30">AA60+AA50</f>
        <v>126539.81999999999</v>
      </c>
      <c r="AB37" s="528">
        <f t="shared" si="30"/>
        <v>143674.74</v>
      </c>
      <c r="AC37" s="528">
        <f t="shared" si="30"/>
        <v>132408.54</v>
      </c>
      <c r="AD37" s="528">
        <f t="shared" si="30"/>
        <v>123187.73780000009</v>
      </c>
      <c r="AE37" s="589">
        <f t="shared" si="30"/>
        <v>525810.8378000001</v>
      </c>
      <c r="AF37" s="589">
        <f t="shared" si="30"/>
        <v>544344.53878100007</v>
      </c>
      <c r="AG37" s="3"/>
      <c r="AH37" s="87"/>
      <c r="AI37" s="87"/>
      <c r="AJ37" s="87"/>
      <c r="AK37" s="87"/>
      <c r="AL37" s="3"/>
      <c r="AM37" s="3"/>
      <c r="AN37" s="3"/>
      <c r="AO37" s="3"/>
      <c r="AP37" s="3"/>
      <c r="AQ37" s="3"/>
      <c r="AR37" s="5">
        <f t="shared" ref="AR37:BK37" si="31">K37/G37-1</f>
        <v>8.7814511746109547E-2</v>
      </c>
      <c r="AS37" s="5">
        <f t="shared" si="31"/>
        <v>0.14323761561183468</v>
      </c>
      <c r="AT37" s="5">
        <f t="shared" si="31"/>
        <v>5.912113885820669E-2</v>
      </c>
      <c r="AU37" s="5">
        <f t="shared" si="31"/>
        <v>0.19573051656469387</v>
      </c>
      <c r="AV37" s="5">
        <f t="shared" si="31"/>
        <v>3.5535602451604698E-2</v>
      </c>
      <c r="AW37" s="5">
        <f t="shared" si="31"/>
        <v>0.19146653112513579</v>
      </c>
      <c r="AX37" s="5">
        <f t="shared" si="31"/>
        <v>0.20524807281372848</v>
      </c>
      <c r="AY37" s="5">
        <f t="shared" si="31"/>
        <v>-1.6708854286517805E-2</v>
      </c>
      <c r="AZ37" s="5">
        <f t="shared" si="31"/>
        <v>-2.6909303415986185E-3</v>
      </c>
      <c r="BA37" s="5">
        <f t="shared" si="31"/>
        <v>2.7746599042517892</v>
      </c>
      <c r="BB37" s="5">
        <f t="shared" si="31"/>
        <v>-0.17420428415829603</v>
      </c>
      <c r="BC37" s="5">
        <f t="shared" si="31"/>
        <v>-0.18770070857440035</v>
      </c>
      <c r="BD37" s="5">
        <f t="shared" si="31"/>
        <v>-0.15975879807856097</v>
      </c>
      <c r="BE37" s="5">
        <f t="shared" si="31"/>
        <v>-0.77219843283019818</v>
      </c>
      <c r="BF37" s="5">
        <f t="shared" si="31"/>
        <v>-1.996761216668741E-2</v>
      </c>
      <c r="BG37" s="5">
        <f t="shared" si="31"/>
        <v>0.52139953263548766</v>
      </c>
      <c r="BH37" s="5">
        <f t="shared" si="31"/>
        <v>2.6126112976207816E-2</v>
      </c>
      <c r="BI37" s="5">
        <f t="shared" si="31"/>
        <v>-1.0000000000000009E-2</v>
      </c>
      <c r="BJ37" s="5">
        <f t="shared" si="31"/>
        <v>-9.9999999999998979E-3</v>
      </c>
      <c r="BK37" s="5">
        <f t="shared" si="31"/>
        <v>-0.35201181538914672</v>
      </c>
      <c r="BL37" s="174"/>
      <c r="BX37" s="528">
        <f>BX60+BX50</f>
        <v>124661.72145</v>
      </c>
      <c r="BY37" s="5">
        <f>BX37/S37-1</f>
        <v>-0.15060319933226585</v>
      </c>
      <c r="BZ37" s="528">
        <v>130307.2586104502</v>
      </c>
      <c r="CA37" s="5">
        <v>4.2825143334055182E-2</v>
      </c>
    </row>
    <row r="38" spans="1:79">
      <c r="A38" s="3"/>
      <c r="B38" s="3" t="s">
        <v>3335</v>
      </c>
      <c r="C38" s="3"/>
      <c r="D38" s="87"/>
      <c r="E38" s="3"/>
      <c r="F38" s="3"/>
      <c r="G38" s="5">
        <f t="shared" ref="G38" si="32">G37/G6</f>
        <v>0.38347330137698027</v>
      </c>
      <c r="H38" s="5">
        <f t="shared" ref="H38" si="33">H37/H6</f>
        <v>0.36629861203494302</v>
      </c>
      <c r="I38" s="5">
        <f t="shared" ref="I38" si="34">I37/I6</f>
        <v>0.37754661627384767</v>
      </c>
      <c r="J38" s="5">
        <f t="shared" ref="J38" si="35">J37/J6</f>
        <v>0.3729589742420269</v>
      </c>
      <c r="K38" s="5">
        <f t="shared" ref="K38" si="36">K37/K6</f>
        <v>0.40640183481516012</v>
      </c>
      <c r="L38" s="5">
        <f t="shared" ref="L38" si="37">L37/L6</f>
        <v>0.42831355355658024</v>
      </c>
      <c r="M38" s="5">
        <f t="shared" ref="M38" si="38">M37/M6</f>
        <v>0.37329743297950252</v>
      </c>
      <c r="N38" s="5">
        <f t="shared" ref="N38" si="39">N37/N6</f>
        <v>0.39153089571289135</v>
      </c>
      <c r="O38" s="5">
        <f t="shared" ref="O38" si="40">O37/O6</f>
        <v>0.37599196717374306</v>
      </c>
      <c r="P38" s="5">
        <f t="shared" ref="P38" si="41">P37/P6</f>
        <v>0.41207895070952116</v>
      </c>
      <c r="Q38" s="5">
        <f t="shared" ref="Q38" si="42">Q37/Q6</f>
        <v>0.39263109877786861</v>
      </c>
      <c r="R38" s="5">
        <f t="shared" ref="R38" si="43">R37/R6</f>
        <v>0.35521554700146168</v>
      </c>
      <c r="S38" s="5">
        <f t="shared" ref="S38:U38" si="44">S37/S6</f>
        <v>0.35394996732175887</v>
      </c>
      <c r="T38" s="5">
        <f t="shared" si="44"/>
        <v>1.4999246590823476</v>
      </c>
      <c r="U38" s="5">
        <f t="shared" si="44"/>
        <v>0.33293486507783548</v>
      </c>
      <c r="V38" s="5">
        <f>V37/V6</f>
        <v>0.30058092683689547</v>
      </c>
      <c r="W38" s="5">
        <f>W37/W6</f>
        <v>0.29907525749943614</v>
      </c>
      <c r="X38" s="5">
        <f>X37/X6</f>
        <v>0.34718972636494561</v>
      </c>
      <c r="Y38" s="5">
        <f>Y37/Y6</f>
        <v>0.3316487963578294</v>
      </c>
      <c r="Z38" s="5">
        <f>Z37/Z6</f>
        <v>0.38001763079672413</v>
      </c>
      <c r="AA38" s="528"/>
      <c r="AB38" s="528"/>
      <c r="AC38" s="528"/>
      <c r="AD38" s="528"/>
      <c r="AE38" s="528"/>
      <c r="AF38" s="528"/>
      <c r="AG38" s="3"/>
      <c r="AH38" s="87"/>
      <c r="AI38" s="87"/>
      <c r="AJ38" s="87"/>
      <c r="AK38" s="87"/>
      <c r="AL38" s="3"/>
      <c r="AM38" s="3"/>
      <c r="AN38" s="3"/>
      <c r="AO38" s="3"/>
      <c r="AP38" s="3"/>
      <c r="AQ38" s="3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174"/>
      <c r="BX38" s="528"/>
      <c r="BY38" s="5"/>
      <c r="BZ38" s="528"/>
      <c r="CA38" s="5"/>
    </row>
    <row r="39" spans="1:79">
      <c r="A39" s="3"/>
      <c r="B39" s="3"/>
      <c r="C39" s="3"/>
      <c r="D39" s="3"/>
      <c r="E39" s="3"/>
      <c r="F39" s="3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3"/>
      <c r="AB39" s="3"/>
      <c r="AC39" s="3"/>
      <c r="AD39" s="87"/>
      <c r="AE39" s="87"/>
      <c r="AF39" s="87"/>
      <c r="AG39" s="3"/>
      <c r="AH39" s="87"/>
      <c r="AI39" s="87"/>
      <c r="AJ39" s="87"/>
      <c r="AK39" s="87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173"/>
      <c r="BX39" s="87"/>
      <c r="BY39" s="3"/>
      <c r="BZ39" s="87"/>
      <c r="CA39" s="3"/>
    </row>
    <row r="40" spans="1:79">
      <c r="A40" s="3"/>
      <c r="B40" s="3" t="s">
        <v>2519</v>
      </c>
      <c r="C40" s="3"/>
      <c r="D40" s="3"/>
      <c r="E40" s="3"/>
      <c r="F40" s="3"/>
      <c r="G40" s="87">
        <v>6132</v>
      </c>
      <c r="H40" s="87">
        <v>12476</v>
      </c>
      <c r="I40" s="87">
        <v>15952</v>
      </c>
      <c r="J40" s="87">
        <v>91916</v>
      </c>
      <c r="K40" s="87">
        <f>30007</f>
        <v>30007</v>
      </c>
      <c r="L40" s="87">
        <v>21600</v>
      </c>
      <c r="M40" s="87">
        <v>26061</v>
      </c>
      <c r="N40" s="87">
        <v>25941</v>
      </c>
      <c r="O40" s="87">
        <v>29593</v>
      </c>
      <c r="P40" s="87">
        <v>34443</v>
      </c>
      <c r="Q40" s="87">
        <v>37542</v>
      </c>
      <c r="R40" s="87">
        <v>32441</v>
      </c>
      <c r="S40" s="266">
        <v>42258</v>
      </c>
      <c r="T40" s="266">
        <v>48901</v>
      </c>
      <c r="U40" s="266">
        <v>95938</v>
      </c>
      <c r="V40" s="579">
        <v>46829</v>
      </c>
      <c r="W40" s="266">
        <v>7322</v>
      </c>
      <c r="X40" s="266">
        <v>47144</v>
      </c>
      <c r="Y40" s="579">
        <v>55315</v>
      </c>
      <c r="Z40" s="579">
        <v>55651</v>
      </c>
      <c r="AA40" s="528">
        <f>AA62+AA53</f>
        <v>50000</v>
      </c>
      <c r="AB40" s="528">
        <f>AB62+AB53</f>
        <v>55000</v>
      </c>
      <c r="AC40" s="528">
        <f>AC62+AC53</f>
        <v>57000</v>
      </c>
      <c r="AD40" s="645">
        <f>Master!J160-'New Ints'!AA40-'New Ints'!AB40-'New Ints'!AC40</f>
        <v>59744.098208020674</v>
      </c>
      <c r="AE40" s="645">
        <f>Master!J160</f>
        <v>221744.09820802067</v>
      </c>
      <c r="AF40" s="645">
        <f>Master!K160</f>
        <v>237677.48681665189</v>
      </c>
      <c r="AG40" s="3"/>
      <c r="AH40" s="87"/>
      <c r="AI40" s="87"/>
      <c r="AJ40" s="87"/>
      <c r="AK40" s="87"/>
      <c r="AL40" s="87"/>
      <c r="AM40" s="3"/>
      <c r="AN40" s="3"/>
      <c r="AO40" s="3"/>
      <c r="AP40" s="3"/>
      <c r="AQ40" s="3"/>
      <c r="AR40" s="5">
        <f t="shared" ref="AR40:BK40" si="45">K40/G40-1</f>
        <v>3.8935094585779515</v>
      </c>
      <c r="AS40" s="5">
        <f t="shared" si="45"/>
        <v>0.73132414235331833</v>
      </c>
      <c r="AT40" s="5">
        <f t="shared" si="45"/>
        <v>0.63371364092276838</v>
      </c>
      <c r="AU40" s="5">
        <f t="shared" si="45"/>
        <v>-0.71777492493145911</v>
      </c>
      <c r="AV40" s="5">
        <f t="shared" si="45"/>
        <v>-1.3796780751158089E-2</v>
      </c>
      <c r="AW40" s="5">
        <f t="shared" si="45"/>
        <v>0.59458333333333324</v>
      </c>
      <c r="AX40" s="5">
        <f t="shared" si="45"/>
        <v>0.44054334062392075</v>
      </c>
      <c r="AY40" s="5">
        <f t="shared" si="45"/>
        <v>0.25056859797232178</v>
      </c>
      <c r="AZ40" s="5">
        <f t="shared" si="45"/>
        <v>0.42797283141283415</v>
      </c>
      <c r="BA40" s="5">
        <f t="shared" si="45"/>
        <v>0.41976599018668526</v>
      </c>
      <c r="BB40" s="5">
        <f t="shared" si="45"/>
        <v>1.555484523999787</v>
      </c>
      <c r="BC40" s="5">
        <f t="shared" si="45"/>
        <v>0.44351283869177882</v>
      </c>
      <c r="BD40" s="5">
        <f t="shared" si="45"/>
        <v>-0.82673103317714991</v>
      </c>
      <c r="BE40" s="5">
        <f t="shared" si="45"/>
        <v>-3.5929735588229317E-2</v>
      </c>
      <c r="BF40" s="5">
        <f t="shared" si="45"/>
        <v>-0.4234297150242865</v>
      </c>
      <c r="BG40" s="5">
        <f t="shared" si="45"/>
        <v>0.18838753763693439</v>
      </c>
      <c r="BH40" s="5">
        <f t="shared" si="45"/>
        <v>5.8287353182190662</v>
      </c>
      <c r="BI40" s="5">
        <f t="shared" si="45"/>
        <v>0.16663838452401158</v>
      </c>
      <c r="BJ40" s="5">
        <f t="shared" si="45"/>
        <v>3.046190002711735E-2</v>
      </c>
      <c r="BK40" s="5">
        <f t="shared" si="45"/>
        <v>7.3549409858235659E-2</v>
      </c>
      <c r="BL40" s="174"/>
      <c r="BX40" s="584">
        <v>47000</v>
      </c>
      <c r="BY40" s="5">
        <f>BX40/S40-1</f>
        <v>0.11221543849685256</v>
      </c>
      <c r="BZ40" s="528">
        <v>52073.470496090478</v>
      </c>
      <c r="CA40" s="5">
        <v>0.11199193867241397</v>
      </c>
    </row>
    <row r="41" spans="1:79">
      <c r="A41" s="3"/>
      <c r="B41" s="2" t="s">
        <v>108</v>
      </c>
      <c r="C41" s="2"/>
      <c r="D41" s="2"/>
      <c r="E41" s="2"/>
      <c r="F41" s="2"/>
      <c r="G41" s="379">
        <f t="shared" ref="G41:Z41" si="46">G42-G37-G40</f>
        <v>1034</v>
      </c>
      <c r="H41" s="379">
        <f t="shared" si="46"/>
        <v>1269</v>
      </c>
      <c r="I41" s="379">
        <f t="shared" si="46"/>
        <v>1982</v>
      </c>
      <c r="J41" s="379">
        <f t="shared" si="46"/>
        <v>124806.5</v>
      </c>
      <c r="K41" s="379">
        <f t="shared" si="46"/>
        <v>579</v>
      </c>
      <c r="L41" s="379">
        <f t="shared" si="46"/>
        <v>367</v>
      </c>
      <c r="M41" s="379">
        <f t="shared" si="46"/>
        <v>1485</v>
      </c>
      <c r="N41" s="379">
        <f t="shared" si="46"/>
        <v>865</v>
      </c>
      <c r="O41" s="379">
        <f t="shared" si="46"/>
        <v>843</v>
      </c>
      <c r="P41" s="379">
        <f t="shared" si="46"/>
        <v>1084</v>
      </c>
      <c r="Q41" s="379">
        <f t="shared" si="46"/>
        <v>1140</v>
      </c>
      <c r="R41" s="379">
        <f t="shared" si="46"/>
        <v>340</v>
      </c>
      <c r="S41" s="379">
        <f t="shared" si="46"/>
        <v>564</v>
      </c>
      <c r="T41" s="379">
        <f t="shared" si="46"/>
        <v>822</v>
      </c>
      <c r="U41" s="379">
        <f t="shared" si="46"/>
        <v>771</v>
      </c>
      <c r="V41" s="379">
        <f t="shared" si="46"/>
        <v>666</v>
      </c>
      <c r="W41" s="379">
        <f t="shared" si="46"/>
        <v>1483</v>
      </c>
      <c r="X41" s="379">
        <f t="shared" si="46"/>
        <v>963</v>
      </c>
      <c r="Y41" s="379">
        <f t="shared" si="46"/>
        <v>1092</v>
      </c>
      <c r="Z41" s="379">
        <f t="shared" si="46"/>
        <v>1294</v>
      </c>
      <c r="AA41" s="457">
        <f t="shared" ref="AA41:AC41" si="47">1.025*W41</f>
        <v>1520.0749999999998</v>
      </c>
      <c r="AB41" s="457">
        <f t="shared" si="47"/>
        <v>987.07499999999993</v>
      </c>
      <c r="AC41" s="457">
        <f t="shared" si="47"/>
        <v>1119.3</v>
      </c>
      <c r="AD41" s="645">
        <f>Master!J24-'New Ints'!AA41-'New Ints'!AB41-'New Ints'!AC41</f>
        <v>1323.5500000000004</v>
      </c>
      <c r="AE41" s="645">
        <f>Master!J24</f>
        <v>4950</v>
      </c>
      <c r="AF41" s="645">
        <f>Master!K24</f>
        <v>4950</v>
      </c>
      <c r="AG41" s="3"/>
      <c r="AH41" s="87"/>
      <c r="AI41" s="87"/>
      <c r="AJ41" s="87"/>
      <c r="AK41" s="87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D41" s="5">
        <f t="shared" ref="BD41" si="48">W41/S41-1</f>
        <v>1.6294326241134751</v>
      </c>
      <c r="BE41" s="5">
        <f t="shared" ref="BE41" si="49">X41/T41-1</f>
        <v>0.17153284671532854</v>
      </c>
      <c r="BF41" s="5">
        <f t="shared" ref="BF41" si="50">Y41/U41-1</f>
        <v>0.41634241245136194</v>
      </c>
      <c r="BG41" s="5">
        <f t="shared" ref="BG41" si="51">Z41/V41-1</f>
        <v>0.94294294294294301</v>
      </c>
      <c r="BH41" s="5">
        <f t="shared" ref="BH41" si="52">AA41/W41-1</f>
        <v>2.4999999999999911E-2</v>
      </c>
      <c r="BI41" s="5">
        <f t="shared" ref="BI41" si="53">AB41/X41-1</f>
        <v>2.4999999999999911E-2</v>
      </c>
      <c r="BJ41" s="5">
        <f t="shared" ref="BJ41" si="54">AC41/Y41-1</f>
        <v>2.4999999999999911E-2</v>
      </c>
      <c r="BK41" s="5">
        <f t="shared" ref="BK41" si="55">AD41/Z41-1</f>
        <v>2.2836166924266266E-2</v>
      </c>
      <c r="BX41" s="585">
        <v>700</v>
      </c>
      <c r="BZ41" s="528">
        <v>-715</v>
      </c>
    </row>
    <row r="42" spans="1:79">
      <c r="A42" s="3"/>
      <c r="B42" s="3" t="s">
        <v>68</v>
      </c>
      <c r="C42" s="3"/>
      <c r="D42" s="3"/>
      <c r="E42" s="3"/>
      <c r="F42" s="3"/>
      <c r="G42" s="87">
        <v>137805</v>
      </c>
      <c r="H42" s="87">
        <v>137651</v>
      </c>
      <c r="I42" s="87">
        <v>147397</v>
      </c>
      <c r="J42" s="87">
        <v>347558</v>
      </c>
      <c r="K42" s="87">
        <f>172697</f>
        <v>172697</v>
      </c>
      <c r="L42" s="87">
        <v>163621</v>
      </c>
      <c r="M42" s="87">
        <v>164663</v>
      </c>
      <c r="N42" s="87">
        <v>183250</v>
      </c>
      <c r="O42" s="87">
        <v>177597</v>
      </c>
      <c r="P42" s="87">
        <v>204303</v>
      </c>
      <c r="Q42" s="87">
        <v>203942</v>
      </c>
      <c r="R42" s="87">
        <v>186611</v>
      </c>
      <c r="S42" s="266">
        <v>189587</v>
      </c>
      <c r="T42" s="266">
        <f>686795</f>
        <v>686795</v>
      </c>
      <c r="U42" s="266">
        <v>233180</v>
      </c>
      <c r="V42" s="266">
        <v>172451</v>
      </c>
      <c r="W42" s="266">
        <v>132123</v>
      </c>
      <c r="X42" s="266">
        <v>193233</v>
      </c>
      <c r="Y42" s="266">
        <v>190153</v>
      </c>
      <c r="Z42" s="266">
        <v>247053</v>
      </c>
      <c r="AA42" s="577">
        <f>AA37+AA40+AA41</f>
        <v>178059.89500000002</v>
      </c>
      <c r="AB42" s="577">
        <f>AB37+AB40+AB41</f>
        <v>199661.815</v>
      </c>
      <c r="AC42" s="577">
        <f>AC37+AC40+AC41</f>
        <v>190527.84</v>
      </c>
      <c r="AD42" s="646">
        <f>Master!J14-'New Ints'!AA42-'New Ints'!AB42-'New Ints'!AC42</f>
        <v>184255.38600802075</v>
      </c>
      <c r="AE42" s="646">
        <f>Master!J14</f>
        <v>752504.93600802077</v>
      </c>
      <c r="AF42" s="646">
        <f>Master!K14</f>
        <v>786972.02559765195</v>
      </c>
      <c r="AG42" s="3"/>
      <c r="AH42" s="87"/>
      <c r="AI42" s="87"/>
      <c r="AJ42" s="87"/>
      <c r="AK42" s="87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K42"/>
      <c r="BX42" s="528">
        <f>BX37+BX40+BX41</f>
        <v>172361.72145000001</v>
      </c>
      <c r="BZ42" s="589">
        <v>192433.01319609047</v>
      </c>
    </row>
    <row r="43" spans="1:79">
      <c r="A43" s="3"/>
      <c r="B43" s="3" t="s">
        <v>3335</v>
      </c>
      <c r="C43" s="3"/>
      <c r="D43" s="3"/>
      <c r="E43" s="3"/>
      <c r="F43" s="3"/>
      <c r="G43" s="174">
        <f t="shared" ref="G43:Y43" si="56">G42/G13</f>
        <v>0.2902471645060396</v>
      </c>
      <c r="H43" s="174">
        <f t="shared" si="56"/>
        <v>0.28355982935034063</v>
      </c>
      <c r="I43" s="174">
        <f t="shared" si="56"/>
        <v>0.29568816099886053</v>
      </c>
      <c r="J43" s="174">
        <f t="shared" si="56"/>
        <v>0.65424899102463707</v>
      </c>
      <c r="K43" s="174">
        <f t="shared" si="56"/>
        <v>0.33157717895302735</v>
      </c>
      <c r="L43" s="174">
        <f t="shared" si="56"/>
        <v>0.3547000394542309</v>
      </c>
      <c r="M43" s="174">
        <f t="shared" si="56"/>
        <v>0.30718416536079396</v>
      </c>
      <c r="N43" s="174">
        <f t="shared" si="56"/>
        <v>0.31065113834782754</v>
      </c>
      <c r="O43" s="174">
        <f t="shared" si="56"/>
        <v>0.31225352038385329</v>
      </c>
      <c r="P43" s="174">
        <f t="shared" si="56"/>
        <v>0.3415564245268351</v>
      </c>
      <c r="Q43" s="174">
        <f t="shared" si="56"/>
        <v>0.32717303070846687</v>
      </c>
      <c r="R43" s="174">
        <f t="shared" si="56"/>
        <v>0.28293213213031093</v>
      </c>
      <c r="S43" s="174">
        <f t="shared" si="56"/>
        <v>0.29169878496663543</v>
      </c>
      <c r="T43" s="174">
        <f t="shared" si="56"/>
        <v>1.0346928967544333</v>
      </c>
      <c r="U43" s="174">
        <f t="shared" si="56"/>
        <v>0.36646466424431395</v>
      </c>
      <c r="V43" s="174">
        <f t="shared" si="56"/>
        <v>0.2683619511800388</v>
      </c>
      <c r="W43" s="174">
        <f t="shared" si="56"/>
        <v>0.21541629574557586</v>
      </c>
      <c r="X43" s="174">
        <f t="shared" si="56"/>
        <v>0.31281496722641056</v>
      </c>
      <c r="Y43" s="174">
        <f t="shared" si="56"/>
        <v>0.30797100275655209</v>
      </c>
      <c r="Z43" s="174">
        <f>Z42/Z13</f>
        <v>0.34093110805059601</v>
      </c>
      <c r="AA43" s="3"/>
      <c r="AB43" s="3"/>
      <c r="AC43" s="3"/>
      <c r="AD43" s="480"/>
      <c r="AE43" s="480"/>
      <c r="AF43" s="480"/>
      <c r="AG43" s="3"/>
      <c r="AH43" s="480"/>
      <c r="AI43" s="480"/>
      <c r="AJ43" s="480"/>
      <c r="AK43" s="480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K43"/>
      <c r="BX43" s="480"/>
      <c r="BZ43" s="480"/>
    </row>
    <row r="44" spans="1:79">
      <c r="A44" s="3"/>
      <c r="B44" s="3"/>
      <c r="C44" s="3"/>
      <c r="D44" s="3"/>
      <c r="E44" s="3"/>
      <c r="F44" s="3"/>
      <c r="G44" s="87"/>
      <c r="H44" s="87"/>
      <c r="I44" s="87"/>
      <c r="J44" s="87"/>
      <c r="K44" s="87"/>
      <c r="L44" s="87"/>
      <c r="M44" s="87"/>
      <c r="N44" s="87"/>
      <c r="O44" s="87"/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3"/>
      <c r="AB44" s="3"/>
      <c r="AC44" s="3"/>
      <c r="AD44" s="480"/>
      <c r="AE44" s="480"/>
      <c r="AF44" s="480"/>
      <c r="AG44" s="3"/>
      <c r="AH44" s="480"/>
      <c r="AI44" s="480"/>
      <c r="AJ44" s="480"/>
      <c r="AK44" s="480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K44"/>
      <c r="BX44" s="480"/>
      <c r="BZ44" s="480"/>
    </row>
    <row r="45" spans="1:7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87"/>
      <c r="U45" s="87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K45"/>
      <c r="BX45" s="3"/>
      <c r="BZ45" s="3"/>
    </row>
    <row r="46" spans="1:79">
      <c r="A46" s="3"/>
      <c r="B46" s="455" t="s">
        <v>2501</v>
      </c>
      <c r="C46" s="455"/>
      <c r="D46" s="455"/>
      <c r="E46" s="455"/>
      <c r="F46" s="455"/>
      <c r="G46" s="13" t="str">
        <f>G76</f>
        <v>Q1 19</v>
      </c>
      <c r="H46" s="13" t="str">
        <f>H76</f>
        <v>Q2 19</v>
      </c>
      <c r="I46" s="13" t="str">
        <f>I76</f>
        <v>Q3 19</v>
      </c>
      <c r="J46" s="13" t="str">
        <f>J76</f>
        <v>Q4 19</v>
      </c>
      <c r="K46" s="13" t="s">
        <v>2705</v>
      </c>
      <c r="L46" s="13" t="s">
        <v>2727</v>
      </c>
      <c r="M46" s="13" t="s">
        <v>2797</v>
      </c>
      <c r="N46" s="13" t="s">
        <v>2819</v>
      </c>
      <c r="O46" s="13" t="str">
        <f>O33</f>
        <v>Q1 21</v>
      </c>
      <c r="P46" s="13" t="str">
        <f>P33</f>
        <v>Q2 21</v>
      </c>
      <c r="Q46" s="13" t="s">
        <v>2928</v>
      </c>
      <c r="R46" s="13" t="str">
        <f t="shared" ref="R46:AC46" si="57">R33</f>
        <v>Q4 21</v>
      </c>
      <c r="S46" s="13" t="str">
        <f t="shared" si="57"/>
        <v>Q1 22</v>
      </c>
      <c r="T46" s="13" t="str">
        <f t="shared" si="57"/>
        <v>Q2 22</v>
      </c>
      <c r="U46" s="13" t="str">
        <f t="shared" si="57"/>
        <v>Q3 22</v>
      </c>
      <c r="V46" s="13" t="str">
        <f t="shared" si="57"/>
        <v>Q4 22</v>
      </c>
      <c r="W46" s="13" t="str">
        <f t="shared" si="57"/>
        <v>Q1 23</v>
      </c>
      <c r="X46" s="13" t="str">
        <f t="shared" si="57"/>
        <v>Q2 23</v>
      </c>
      <c r="Y46" s="13" t="str">
        <f t="shared" si="57"/>
        <v>Q3 23</v>
      </c>
      <c r="Z46" s="13" t="str">
        <f t="shared" si="57"/>
        <v>Q4 23</v>
      </c>
      <c r="AA46" s="13" t="str">
        <f t="shared" si="57"/>
        <v>Q1 24e</v>
      </c>
      <c r="AB46" s="13" t="str">
        <f t="shared" si="57"/>
        <v>Q2 24e</v>
      </c>
      <c r="AC46" s="13" t="str">
        <f t="shared" si="57"/>
        <v>Q3 24e</v>
      </c>
      <c r="AD46" s="13" t="str">
        <f t="shared" ref="AD46:AF46" si="58">AD33</f>
        <v>Q4 24e</v>
      </c>
      <c r="AE46" s="13">
        <f t="shared" si="58"/>
        <v>2024</v>
      </c>
      <c r="AF46" s="13">
        <f t="shared" si="58"/>
        <v>2025</v>
      </c>
      <c r="AG46" s="3"/>
      <c r="AH46" s="403"/>
      <c r="AI46" s="403"/>
      <c r="AJ46" s="403"/>
      <c r="AK46" s="403"/>
      <c r="AL46" s="40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K46"/>
      <c r="BX46" s="13" t="str">
        <f>BX33</f>
        <v>Q1 23e</v>
      </c>
      <c r="BZ46" s="13" t="s">
        <v>3079</v>
      </c>
    </row>
    <row r="47" spans="1:79">
      <c r="A47" s="3"/>
      <c r="B47" s="3" t="s">
        <v>28</v>
      </c>
      <c r="C47" s="3"/>
      <c r="D47" s="3"/>
      <c r="E47" s="3"/>
      <c r="F47" s="3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>
        <f>-3200</f>
        <v>-3200</v>
      </c>
      <c r="S47" s="266">
        <v>0</v>
      </c>
      <c r="T47" s="266"/>
      <c r="U47" s="266"/>
      <c r="V47" s="266"/>
      <c r="W47" s="266"/>
      <c r="X47" s="87"/>
      <c r="Y47" s="87"/>
      <c r="Z47" s="87"/>
      <c r="AA47" s="3"/>
      <c r="AB47" s="3"/>
      <c r="AC47" s="3"/>
      <c r="AD47" s="87"/>
      <c r="AE47" s="87"/>
      <c r="AF47" s="87"/>
      <c r="AG47" s="3"/>
      <c r="AH47" s="87"/>
      <c r="AI47" s="87"/>
      <c r="AJ47" s="87"/>
      <c r="AK47" s="87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K47"/>
      <c r="BX47" s="87"/>
      <c r="BZ47" s="87"/>
    </row>
    <row r="48" spans="1:79">
      <c r="A48" s="3"/>
      <c r="B48" s="3" t="s">
        <v>29</v>
      </c>
      <c r="C48" s="3"/>
      <c r="D48" s="3"/>
      <c r="E48" s="3"/>
      <c r="F48" s="3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>
        <v>0</v>
      </c>
      <c r="S48" s="266">
        <v>0</v>
      </c>
      <c r="T48" s="266"/>
      <c r="U48" s="266"/>
      <c r="V48" s="266"/>
      <c r="W48" s="266"/>
      <c r="X48" s="87"/>
      <c r="Y48" s="87"/>
      <c r="Z48" s="87"/>
      <c r="AA48" s="3"/>
      <c r="AB48" s="3"/>
      <c r="AC48" s="3"/>
      <c r="AD48" s="87"/>
      <c r="AE48" s="87"/>
      <c r="AF48" s="87"/>
      <c r="AG48" s="3"/>
      <c r="AH48" s="87"/>
      <c r="AI48" s="87"/>
      <c r="AJ48" s="87"/>
      <c r="AK48" s="87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K48"/>
      <c r="BX48" s="87"/>
      <c r="BZ48" s="87"/>
    </row>
    <row r="49" spans="1:79">
      <c r="A49" s="3"/>
      <c r="B49" s="2" t="s">
        <v>2930</v>
      </c>
      <c r="C49" s="2"/>
      <c r="D49" s="2"/>
      <c r="E49" s="2"/>
      <c r="F49" s="2"/>
      <c r="G49" s="379"/>
      <c r="H49" s="379"/>
      <c r="I49" s="379"/>
      <c r="J49" s="379"/>
      <c r="K49" s="379">
        <v>9900</v>
      </c>
      <c r="L49" s="379">
        <v>11400</v>
      </c>
      <c r="M49" s="379">
        <v>3500</v>
      </c>
      <c r="N49" s="379">
        <v>5400</v>
      </c>
      <c r="O49" s="379">
        <f>4600-O52</f>
        <v>3600</v>
      </c>
      <c r="P49" s="379">
        <f>10300-P52</f>
        <v>9300</v>
      </c>
      <c r="Q49" s="379">
        <v>0</v>
      </c>
      <c r="R49" s="379">
        <v>-6000</v>
      </c>
      <c r="S49" s="379">
        <f>S50-S47-S48</f>
        <v>-6700</v>
      </c>
      <c r="T49" s="379">
        <f>T50-T47-T48</f>
        <v>485800</v>
      </c>
      <c r="U49" s="379">
        <f>U50-U47-U48</f>
        <v>0</v>
      </c>
      <c r="V49" s="379">
        <f>V50-V47-V48</f>
        <v>0</v>
      </c>
      <c r="W49" s="379">
        <f>W50-W47-W48</f>
        <v>-4500</v>
      </c>
      <c r="X49" s="379"/>
      <c r="Y49" s="379"/>
      <c r="Z49" s="452">
        <v>52300</v>
      </c>
      <c r="AA49" s="2"/>
      <c r="AB49" s="2"/>
      <c r="AC49" s="2"/>
      <c r="AD49" s="379"/>
      <c r="AE49" s="379"/>
      <c r="AF49" s="379"/>
      <c r="AG49" s="3"/>
      <c r="AH49" s="87"/>
      <c r="AI49" s="87"/>
      <c r="AJ49" s="87"/>
      <c r="AK49" s="87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K49"/>
      <c r="BX49" s="379"/>
      <c r="BZ49" s="379"/>
    </row>
    <row r="50" spans="1:79">
      <c r="A50" s="3"/>
      <c r="B50" s="3" t="str">
        <f>B37</f>
        <v>Chile (inc wholesale)</v>
      </c>
      <c r="C50" s="3"/>
      <c r="D50" s="3"/>
      <c r="E50" s="3"/>
      <c r="F50" s="3"/>
      <c r="G50" s="87"/>
      <c r="H50" s="87"/>
      <c r="I50" s="87"/>
      <c r="J50" s="87"/>
      <c r="K50" s="87">
        <f t="shared" ref="K50:Q50" si="59">SUM(K47:K49)</f>
        <v>9900</v>
      </c>
      <c r="L50" s="87">
        <f t="shared" si="59"/>
        <v>11400</v>
      </c>
      <c r="M50" s="87">
        <f t="shared" si="59"/>
        <v>3500</v>
      </c>
      <c r="N50" s="87">
        <f t="shared" si="59"/>
        <v>5400</v>
      </c>
      <c r="O50" s="87">
        <f t="shared" si="59"/>
        <v>3600</v>
      </c>
      <c r="P50" s="87">
        <f t="shared" si="59"/>
        <v>9300</v>
      </c>
      <c r="Q50" s="87">
        <f t="shared" si="59"/>
        <v>0</v>
      </c>
      <c r="R50" s="87">
        <v>-9200</v>
      </c>
      <c r="S50" s="266">
        <v>-6700</v>
      </c>
      <c r="T50" s="266">
        <v>485800</v>
      </c>
      <c r="U50" s="266">
        <v>0</v>
      </c>
      <c r="V50" s="266">
        <v>0</v>
      </c>
      <c r="W50" s="266">
        <v>-4500</v>
      </c>
      <c r="X50" s="87">
        <f>SUM(X47:X49)</f>
        <v>0</v>
      </c>
      <c r="Y50" s="87">
        <f>SUM(Y47:Y49)</f>
        <v>0</v>
      </c>
      <c r="Z50" s="87">
        <f>SUM(Z47:Z49)</f>
        <v>52300</v>
      </c>
      <c r="AA50" s="3"/>
      <c r="AB50" s="3"/>
      <c r="AC50" s="3"/>
      <c r="AD50" s="87"/>
      <c r="AE50" s="87"/>
      <c r="AF50" s="87"/>
      <c r="AG50" s="3"/>
      <c r="AH50" s="87"/>
      <c r="AI50" s="87"/>
      <c r="AJ50" s="87"/>
      <c r="AK50" s="87"/>
      <c r="AL50" s="87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K50"/>
      <c r="BX50" s="87"/>
      <c r="BZ50" s="87"/>
    </row>
    <row r="51" spans="1:79">
      <c r="A51" s="3"/>
      <c r="B51" s="3"/>
      <c r="C51" s="3"/>
      <c r="D51" s="3"/>
      <c r="E51" s="3"/>
      <c r="F51" s="3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3"/>
      <c r="AB51" s="3"/>
      <c r="AC51" s="3"/>
      <c r="AD51" s="87"/>
      <c r="AE51" s="87"/>
      <c r="AF51" s="87"/>
      <c r="AG51" s="3"/>
      <c r="AH51" s="87"/>
      <c r="AI51" s="87"/>
      <c r="AJ51" s="87"/>
      <c r="AK51" s="87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K51"/>
      <c r="BX51" s="87"/>
      <c r="BZ51" s="87"/>
    </row>
    <row r="52" spans="1:79">
      <c r="A52" s="3"/>
      <c r="B52" s="3" t="s">
        <v>2499</v>
      </c>
      <c r="C52" s="3"/>
      <c r="D52" s="3"/>
      <c r="E52" s="3"/>
      <c r="F52" s="3"/>
      <c r="G52" s="87"/>
      <c r="H52" s="87"/>
      <c r="I52" s="87"/>
      <c r="J52" s="87">
        <f>(113.1-6.6)*Interims!BB288</f>
        <v>80407.5</v>
      </c>
      <c r="K52" s="87">
        <v>3900</v>
      </c>
      <c r="L52" s="87">
        <f>14800-11400</f>
        <v>3400</v>
      </c>
      <c r="M52" s="87">
        <v>3500</v>
      </c>
      <c r="N52" s="87">
        <f>1.3*Interims!BF288</f>
        <v>988</v>
      </c>
      <c r="O52" s="266">
        <v>1000</v>
      </c>
      <c r="P52" s="266">
        <v>1000</v>
      </c>
      <c r="Q52" s="87">
        <v>0</v>
      </c>
      <c r="R52" s="87">
        <v>0</v>
      </c>
      <c r="S52" s="87"/>
      <c r="T52" s="87"/>
      <c r="U52" s="266">
        <v>54307</v>
      </c>
      <c r="V52" s="266"/>
      <c r="W52" s="266">
        <f>-4500-32128</f>
        <v>-36628</v>
      </c>
      <c r="X52" s="87"/>
      <c r="Y52" s="87"/>
      <c r="Z52" s="87"/>
      <c r="AA52" s="3"/>
      <c r="AB52" s="3"/>
      <c r="AC52" s="3"/>
      <c r="AD52" s="87"/>
      <c r="AE52" s="87"/>
      <c r="AF52" s="87"/>
      <c r="AG52" s="3"/>
      <c r="AH52" s="87"/>
      <c r="AI52" s="87"/>
      <c r="AJ52" s="87"/>
      <c r="AK52" s="87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K52"/>
      <c r="BX52" s="87"/>
      <c r="BZ52" s="87"/>
    </row>
    <row r="53" spans="1:79">
      <c r="A53" s="3"/>
      <c r="B53" s="2" t="s">
        <v>20</v>
      </c>
      <c r="C53" s="2"/>
      <c r="D53" s="2"/>
      <c r="E53" s="2"/>
      <c r="F53" s="2"/>
      <c r="G53" s="379"/>
      <c r="H53" s="379"/>
      <c r="I53" s="379"/>
      <c r="J53" s="379">
        <f>J54-J52</f>
        <v>116609.5</v>
      </c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  <c r="AC53" s="379"/>
      <c r="AD53" s="379"/>
      <c r="AE53" s="379"/>
      <c r="AF53" s="379"/>
      <c r="AG53" s="3"/>
      <c r="AH53" s="87"/>
      <c r="AI53" s="87"/>
      <c r="AJ53" s="87"/>
      <c r="AK53" s="87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K53"/>
      <c r="BX53" s="379"/>
      <c r="BZ53" s="379"/>
    </row>
    <row r="54" spans="1:79">
      <c r="A54" s="3"/>
      <c r="B54" s="3" t="s">
        <v>68</v>
      </c>
      <c r="C54" s="3"/>
      <c r="D54" s="3"/>
      <c r="E54" s="3"/>
      <c r="F54" s="3"/>
      <c r="G54" s="87"/>
      <c r="H54" s="87"/>
      <c r="I54" s="87"/>
      <c r="J54" s="87">
        <f>195400+6600-(6.6*Interims!BB288)</f>
        <v>197017</v>
      </c>
      <c r="K54" s="87">
        <f>K50+K52+K53</f>
        <v>13800</v>
      </c>
      <c r="L54" s="87">
        <f>14800</f>
        <v>14800</v>
      </c>
      <c r="M54" s="87">
        <f t="shared" ref="M54:R54" si="60">M50+M52+M53</f>
        <v>7000</v>
      </c>
      <c r="N54" s="87">
        <f t="shared" si="60"/>
        <v>6388</v>
      </c>
      <c r="O54" s="87">
        <f t="shared" si="60"/>
        <v>4600</v>
      </c>
      <c r="P54" s="87">
        <f t="shared" si="60"/>
        <v>10300</v>
      </c>
      <c r="Q54" s="87">
        <f t="shared" si="60"/>
        <v>0</v>
      </c>
      <c r="R54" s="87">
        <f t="shared" si="60"/>
        <v>-9200</v>
      </c>
      <c r="S54" s="266">
        <v>0</v>
      </c>
      <c r="T54" s="266">
        <v>0</v>
      </c>
      <c r="U54" s="87">
        <f t="shared" ref="U54:Z54" si="61">U50+U52+U53</f>
        <v>54307</v>
      </c>
      <c r="V54" s="87">
        <f t="shared" si="61"/>
        <v>0</v>
      </c>
      <c r="W54" s="87">
        <f t="shared" si="61"/>
        <v>-41128</v>
      </c>
      <c r="X54" s="528">
        <f t="shared" si="61"/>
        <v>0</v>
      </c>
      <c r="Y54" s="528">
        <f t="shared" si="61"/>
        <v>0</v>
      </c>
      <c r="Z54" s="528">
        <f t="shared" si="61"/>
        <v>52300</v>
      </c>
      <c r="AA54" s="528">
        <f t="shared" ref="AA54:AC54" si="62">AA50+AA52+AA53</f>
        <v>0</v>
      </c>
      <c r="AB54" s="528">
        <f t="shared" si="62"/>
        <v>0</v>
      </c>
      <c r="AC54" s="528">
        <f t="shared" si="62"/>
        <v>0</v>
      </c>
      <c r="AD54" s="528">
        <f t="shared" ref="AD54" si="63">AD50+AD52+AD53</f>
        <v>0</v>
      </c>
      <c r="AE54" s="528">
        <f t="shared" ref="AE54:AF54" si="64">AE50+AE52+AE53</f>
        <v>0</v>
      </c>
      <c r="AF54" s="528">
        <f t="shared" si="64"/>
        <v>0</v>
      </c>
      <c r="AG54" s="3"/>
      <c r="AH54" s="87"/>
      <c r="AI54" s="87"/>
      <c r="AJ54" s="87"/>
      <c r="AK54" s="87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K54"/>
      <c r="BX54" s="528">
        <f>BX50+BX52+BX53</f>
        <v>0</v>
      </c>
      <c r="BZ54" s="528">
        <v>0</v>
      </c>
    </row>
    <row r="55" spans="1:7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K55"/>
      <c r="BX55" s="3"/>
      <c r="BZ55" s="3"/>
    </row>
    <row r="56" spans="1:79">
      <c r="A56" s="3"/>
      <c r="B56" s="455" t="s">
        <v>2503</v>
      </c>
      <c r="C56" s="13" t="str">
        <f>Interims!AU122</f>
        <v>Q1 18</v>
      </c>
      <c r="D56" s="13" t="str">
        <f>Interims!AV122</f>
        <v>Q2 18</v>
      </c>
      <c r="E56" s="13" t="str">
        <f>Interims!AW122</f>
        <v>Q3 18</v>
      </c>
      <c r="F56" s="13" t="str">
        <f>Interims!AX122</f>
        <v>Q4 18</v>
      </c>
      <c r="G56" s="13" t="str">
        <f>Interims!AY122</f>
        <v>Q1 19</v>
      </c>
      <c r="H56" s="13" t="str">
        <f>Interims!AZ122</f>
        <v>Q2 19</v>
      </c>
      <c r="I56" s="13" t="str">
        <f>Interims!BA122</f>
        <v>Q3 19</v>
      </c>
      <c r="J56" s="13" t="str">
        <f>Interims!BB122</f>
        <v>Q4 19</v>
      </c>
      <c r="K56" s="13" t="str">
        <f>Interims!BC122</f>
        <v>Q1 20</v>
      </c>
      <c r="L56" s="13" t="str">
        <f>Interims!BD122</f>
        <v>Q2 20</v>
      </c>
      <c r="M56" s="13" t="str">
        <f>Interims!BE122</f>
        <v>Q3 20</v>
      </c>
      <c r="N56" s="13" t="str">
        <f>Interims!BF122</f>
        <v>Q4 20</v>
      </c>
      <c r="O56" s="13" t="str">
        <f>Interims!BG122</f>
        <v>Q1 21</v>
      </c>
      <c r="P56" s="13" t="str">
        <f>Interims!BH122</f>
        <v>Q2 21</v>
      </c>
      <c r="Q56" s="13" t="str">
        <f>Interims!BI122</f>
        <v>Q3 21</v>
      </c>
      <c r="R56" s="13" t="str">
        <f t="shared" ref="R56:AC56" si="65">R46</f>
        <v>Q4 21</v>
      </c>
      <c r="S56" s="13" t="str">
        <f t="shared" si="65"/>
        <v>Q1 22</v>
      </c>
      <c r="T56" s="13" t="str">
        <f t="shared" si="65"/>
        <v>Q2 22</v>
      </c>
      <c r="U56" s="13" t="str">
        <f t="shared" ref="U56" si="66">U46</f>
        <v>Q3 22</v>
      </c>
      <c r="V56" s="13" t="str">
        <f t="shared" si="65"/>
        <v>Q4 22</v>
      </c>
      <c r="W56" s="13" t="str">
        <f t="shared" si="65"/>
        <v>Q1 23</v>
      </c>
      <c r="X56" s="13" t="str">
        <f t="shared" si="65"/>
        <v>Q2 23</v>
      </c>
      <c r="Y56" s="13" t="str">
        <f t="shared" si="65"/>
        <v>Q3 23</v>
      </c>
      <c r="Z56" s="13" t="str">
        <f t="shared" si="65"/>
        <v>Q4 23</v>
      </c>
      <c r="AA56" s="13" t="str">
        <f t="shared" si="65"/>
        <v>Q1 24e</v>
      </c>
      <c r="AB56" s="13" t="str">
        <f t="shared" si="65"/>
        <v>Q2 24e</v>
      </c>
      <c r="AC56" s="13" t="str">
        <f t="shared" si="65"/>
        <v>Q3 24e</v>
      </c>
      <c r="AD56" s="13" t="str">
        <f t="shared" ref="AD56:AF56" si="67">AD46</f>
        <v>Q4 24e</v>
      </c>
      <c r="AE56" s="13">
        <f t="shared" si="67"/>
        <v>2024</v>
      </c>
      <c r="AF56" s="13">
        <f t="shared" si="67"/>
        <v>2025</v>
      </c>
      <c r="AG56" s="3"/>
      <c r="AH56" s="403"/>
      <c r="AI56" s="403"/>
      <c r="AJ56" s="403"/>
      <c r="AK56" s="403"/>
      <c r="AL56" s="40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13" t="str">
        <f t="shared" ref="AZ56:BG56" si="68">AZ2</f>
        <v>Q1 22</v>
      </c>
      <c r="BA56" s="13" t="str">
        <f t="shared" si="68"/>
        <v>Q2 22</v>
      </c>
      <c r="BB56" s="13" t="str">
        <f t="shared" si="68"/>
        <v>Q3 22</v>
      </c>
      <c r="BC56" s="13" t="str">
        <f t="shared" si="68"/>
        <v>Q4 22</v>
      </c>
      <c r="BD56" s="13" t="str">
        <f t="shared" si="68"/>
        <v>Q1 23</v>
      </c>
      <c r="BE56" s="13" t="str">
        <f t="shared" si="68"/>
        <v>Q2 23</v>
      </c>
      <c r="BF56" s="13" t="str">
        <f t="shared" si="68"/>
        <v>Q3 23</v>
      </c>
      <c r="BG56" s="13" t="str">
        <f t="shared" si="68"/>
        <v>Q4 23</v>
      </c>
      <c r="BH56" s="13" t="str">
        <f t="shared" ref="BH56:BK56" si="69">BH2</f>
        <v>Q1 24e</v>
      </c>
      <c r="BI56" s="13" t="str">
        <f t="shared" si="69"/>
        <v>Q2 24e</v>
      </c>
      <c r="BJ56" s="13" t="str">
        <f t="shared" si="69"/>
        <v>Q3 24e</v>
      </c>
      <c r="BK56" s="13" t="str">
        <f t="shared" si="69"/>
        <v>Q4 24e</v>
      </c>
      <c r="BL56" s="620"/>
      <c r="BX56" s="13" t="str">
        <f>BX46</f>
        <v>Q1 23e</v>
      </c>
      <c r="BY56" s="13" t="str">
        <f>BY2</f>
        <v>Q1 23e</v>
      </c>
      <c r="BZ56" s="13" t="s">
        <v>3079</v>
      </c>
      <c r="CA56" s="13" t="s">
        <v>3079</v>
      </c>
    </row>
    <row r="57" spans="1:79">
      <c r="A57" s="3"/>
      <c r="B57" s="3" t="s">
        <v>28</v>
      </c>
      <c r="C57" s="3"/>
      <c r="D57" s="3"/>
      <c r="E57" s="3"/>
      <c r="F57" s="3"/>
      <c r="G57" s="87">
        <f t="shared" ref="G57:T57" si="70">G34-G47</f>
        <v>102308</v>
      </c>
      <c r="H57" s="87">
        <f t="shared" si="70"/>
        <v>91005</v>
      </c>
      <c r="I57" s="87">
        <f t="shared" si="70"/>
        <v>100443</v>
      </c>
      <c r="J57" s="87">
        <f t="shared" si="70"/>
        <v>99658</v>
      </c>
      <c r="K57" s="87">
        <f t="shared" si="70"/>
        <v>106311</v>
      </c>
      <c r="L57" s="87">
        <f t="shared" si="70"/>
        <v>101954</v>
      </c>
      <c r="M57" s="87">
        <f t="shared" si="70"/>
        <v>108817</v>
      </c>
      <c r="N57" s="87">
        <f t="shared" si="70"/>
        <v>119276</v>
      </c>
      <c r="O57" s="87">
        <f t="shared" si="70"/>
        <v>119515</v>
      </c>
      <c r="P57" s="87">
        <f t="shared" si="70"/>
        <v>129828</v>
      </c>
      <c r="Q57" s="87">
        <f t="shared" si="70"/>
        <v>131351</v>
      </c>
      <c r="R57" s="87">
        <f t="shared" si="70"/>
        <v>126733</v>
      </c>
      <c r="S57" s="87">
        <f t="shared" si="70"/>
        <v>125826</v>
      </c>
      <c r="T57" s="87">
        <f t="shared" si="70"/>
        <v>125040</v>
      </c>
      <c r="U57" s="87">
        <f t="shared" ref="U57:V57" si="71">U34-U47</f>
        <v>116733</v>
      </c>
      <c r="V57" s="87">
        <f t="shared" si="71"/>
        <v>115847</v>
      </c>
      <c r="W57" s="87">
        <f t="shared" ref="W57" si="72">W34-W47</f>
        <v>113039</v>
      </c>
      <c r="X57" s="528">
        <f t="shared" ref="X57:Y57" si="73">X34-X47</f>
        <v>123516</v>
      </c>
      <c r="Y57" s="528">
        <f t="shared" si="73"/>
        <v>118513</v>
      </c>
      <c r="Z57" s="528">
        <f t="shared" ref="Z57" si="74">Z34-Z47</f>
        <v>117566</v>
      </c>
      <c r="AA57" s="3"/>
      <c r="AB57" s="3"/>
      <c r="AC57" s="3"/>
      <c r="AD57" s="528"/>
      <c r="AE57" s="528"/>
      <c r="AF57" s="528">
        <f t="shared" ref="AF57" si="75">AF34-AF47</f>
        <v>0</v>
      </c>
      <c r="AG57" s="3"/>
      <c r="AH57" s="87"/>
      <c r="AI57" s="87"/>
      <c r="AJ57" s="87"/>
      <c r="AK57" s="87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K57"/>
      <c r="BX57" s="528">
        <f>BX34-BX47</f>
        <v>0</v>
      </c>
      <c r="BZ57" s="528">
        <v>0</v>
      </c>
    </row>
    <row r="58" spans="1:79">
      <c r="A58" s="3"/>
      <c r="B58" s="3" t="s">
        <v>29</v>
      </c>
      <c r="C58" s="3"/>
      <c r="D58" s="3"/>
      <c r="E58" s="3"/>
      <c r="F58" s="3"/>
      <c r="G58" s="87">
        <f t="shared" ref="G58:T58" si="76">G35-G48</f>
        <v>28650</v>
      </c>
      <c r="H58" s="87">
        <f t="shared" si="76"/>
        <v>32832</v>
      </c>
      <c r="I58" s="87">
        <f t="shared" si="76"/>
        <v>29671</v>
      </c>
      <c r="J58" s="87">
        <f t="shared" si="76"/>
        <v>31104</v>
      </c>
      <c r="K58" s="87">
        <f t="shared" si="76"/>
        <v>25655</v>
      </c>
      <c r="L58" s="87">
        <f t="shared" si="76"/>
        <v>27656</v>
      </c>
      <c r="M58" s="87">
        <f t="shared" si="76"/>
        <v>24201</v>
      </c>
      <c r="N58" s="87">
        <f t="shared" si="76"/>
        <v>30777</v>
      </c>
      <c r="O58" s="87">
        <f t="shared" si="76"/>
        <v>22062</v>
      </c>
      <c r="P58" s="87">
        <f t="shared" si="76"/>
        <v>28777</v>
      </c>
      <c r="Q58" s="87">
        <f t="shared" si="76"/>
        <v>26924</v>
      </c>
      <c r="R58" s="87">
        <f t="shared" si="76"/>
        <v>29349</v>
      </c>
      <c r="S58" s="87">
        <f t="shared" si="76"/>
        <v>20676</v>
      </c>
      <c r="T58" s="87">
        <f t="shared" si="76"/>
        <v>25639</v>
      </c>
      <c r="U58" s="87">
        <f t="shared" ref="U58:V58" si="77">U35-U48</f>
        <v>19496</v>
      </c>
      <c r="V58" s="87">
        <f t="shared" si="77"/>
        <v>21347</v>
      </c>
      <c r="W58" s="87">
        <f t="shared" ref="W58" si="78">W35-W48</f>
        <v>10183</v>
      </c>
      <c r="X58" s="528">
        <f t="shared" ref="X58:Y58" si="79">X35-X48</f>
        <v>21826</v>
      </c>
      <c r="Y58" s="528">
        <f t="shared" si="79"/>
        <v>15549</v>
      </c>
      <c r="Z58" s="528">
        <f t="shared" ref="Z58" si="80">Z35-Z48</f>
        <v>19301</v>
      </c>
      <c r="AA58" s="3"/>
      <c r="AB58" s="3"/>
      <c r="AC58" s="3"/>
      <c r="AD58" s="528"/>
      <c r="AE58" s="528"/>
      <c r="AF58" s="528">
        <f t="shared" ref="AF58" si="81">AF35-AF48</f>
        <v>0</v>
      </c>
      <c r="AG58" s="3"/>
      <c r="AH58" s="87"/>
      <c r="AI58" s="87"/>
      <c r="AJ58" s="87"/>
      <c r="AK58" s="87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K58"/>
      <c r="BX58" s="528">
        <f>BX35-BX48</f>
        <v>0</v>
      </c>
      <c r="BZ58" s="528">
        <v>0</v>
      </c>
    </row>
    <row r="59" spans="1:79">
      <c r="A59" s="3"/>
      <c r="B59" s="2" t="s">
        <v>29</v>
      </c>
      <c r="C59" s="2"/>
      <c r="D59" s="2"/>
      <c r="E59" s="2"/>
      <c r="F59" s="2"/>
      <c r="G59" s="379">
        <f t="shared" ref="G59:T59" si="82">G36-G49</f>
        <v>-319</v>
      </c>
      <c r="H59" s="379">
        <f t="shared" si="82"/>
        <v>69</v>
      </c>
      <c r="I59" s="379">
        <f t="shared" si="82"/>
        <v>-651</v>
      </c>
      <c r="J59" s="379">
        <f t="shared" si="82"/>
        <v>73.5</v>
      </c>
      <c r="K59" s="379">
        <f t="shared" si="82"/>
        <v>245</v>
      </c>
      <c r="L59" s="379">
        <f t="shared" si="82"/>
        <v>644</v>
      </c>
      <c r="M59" s="379">
        <f t="shared" si="82"/>
        <v>599</v>
      </c>
      <c r="N59" s="379">
        <f t="shared" si="82"/>
        <v>991</v>
      </c>
      <c r="O59" s="379">
        <f t="shared" si="82"/>
        <v>1984</v>
      </c>
      <c r="P59" s="379">
        <f t="shared" si="82"/>
        <v>871</v>
      </c>
      <c r="Q59" s="379">
        <f t="shared" si="82"/>
        <v>6985</v>
      </c>
      <c r="R59" s="379">
        <f t="shared" si="82"/>
        <v>7267</v>
      </c>
      <c r="S59" s="379">
        <f t="shared" si="82"/>
        <v>6963</v>
      </c>
      <c r="T59" s="379">
        <f t="shared" si="82"/>
        <v>593</v>
      </c>
      <c r="U59" s="379">
        <f t="shared" ref="U59:V59" si="83">U36-U49</f>
        <v>242</v>
      </c>
      <c r="V59" s="379">
        <f t="shared" si="83"/>
        <v>-12238</v>
      </c>
      <c r="W59" s="379">
        <f t="shared" ref="W59" si="84">W36-W49</f>
        <v>4596</v>
      </c>
      <c r="X59" s="586">
        <f t="shared" ref="X59:Y59" si="85">X36-X49</f>
        <v>-216</v>
      </c>
      <c r="Y59" s="586">
        <f t="shared" si="85"/>
        <v>-316</v>
      </c>
      <c r="Z59" s="586">
        <f t="shared" ref="Z59" si="86">Z36-Z49</f>
        <v>941</v>
      </c>
      <c r="AA59" s="3"/>
      <c r="AB59" s="3"/>
      <c r="AC59" s="3"/>
      <c r="AD59" s="528"/>
      <c r="AE59" s="586"/>
      <c r="AF59" s="586">
        <f t="shared" ref="AF59" si="87">AF36-AF49</f>
        <v>0</v>
      </c>
      <c r="AG59" s="3"/>
      <c r="AH59" s="87"/>
      <c r="AI59" s="87"/>
      <c r="AJ59" s="87"/>
      <c r="AK59" s="87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K59"/>
      <c r="BX59" s="586">
        <f>BX36-BX49</f>
        <v>0</v>
      </c>
      <c r="BZ59" s="586">
        <v>0</v>
      </c>
    </row>
    <row r="60" spans="1:79">
      <c r="A60" s="3"/>
      <c r="B60" s="3" t="str">
        <f>B50</f>
        <v>Chile (inc wholesale)</v>
      </c>
      <c r="C60" s="3">
        <f>C37</f>
        <v>113758</v>
      </c>
      <c r="D60" s="3">
        <f>D37</f>
        <v>110493</v>
      </c>
      <c r="E60" s="3">
        <f>E37</f>
        <v>121870</v>
      </c>
      <c r="F60" s="3">
        <f>F37</f>
        <v>126249</v>
      </c>
      <c r="G60" s="87">
        <f t="shared" ref="G60:T60" si="88">SUM(G57:G59)</f>
        <v>130639</v>
      </c>
      <c r="H60" s="87">
        <f t="shared" si="88"/>
        <v>123906</v>
      </c>
      <c r="I60" s="87">
        <f t="shared" si="88"/>
        <v>129463</v>
      </c>
      <c r="J60" s="87">
        <f t="shared" si="88"/>
        <v>130835.5</v>
      </c>
      <c r="K60" s="87">
        <f t="shared" si="88"/>
        <v>132211</v>
      </c>
      <c r="L60" s="87">
        <f t="shared" si="88"/>
        <v>130254</v>
      </c>
      <c r="M60" s="87">
        <f t="shared" si="88"/>
        <v>133617</v>
      </c>
      <c r="N60" s="87">
        <f t="shared" si="88"/>
        <v>151044</v>
      </c>
      <c r="O60" s="87">
        <f t="shared" si="88"/>
        <v>143561</v>
      </c>
      <c r="P60" s="87">
        <f t="shared" si="88"/>
        <v>159476</v>
      </c>
      <c r="Q60" s="87">
        <f t="shared" si="88"/>
        <v>165260</v>
      </c>
      <c r="R60" s="87">
        <f t="shared" si="88"/>
        <v>163349</v>
      </c>
      <c r="S60" s="87">
        <f t="shared" si="88"/>
        <v>153465</v>
      </c>
      <c r="T60" s="87">
        <f t="shared" si="88"/>
        <v>151272</v>
      </c>
      <c r="U60" s="87">
        <f t="shared" ref="U60:V60" si="89">SUM(U57:U59)</f>
        <v>136471</v>
      </c>
      <c r="V60" s="87">
        <f t="shared" si="89"/>
        <v>124956</v>
      </c>
      <c r="W60" s="87">
        <f t="shared" ref="W60:Z60" si="90">SUM(W57:W59)</f>
        <v>127818</v>
      </c>
      <c r="X60" s="87">
        <f t="shared" si="90"/>
        <v>145126</v>
      </c>
      <c r="Y60" s="87">
        <f t="shared" si="90"/>
        <v>133746</v>
      </c>
      <c r="Z60" s="87">
        <f t="shared" si="90"/>
        <v>137808</v>
      </c>
      <c r="AA60" s="660">
        <f>0.99*W60</f>
        <v>126539.81999999999</v>
      </c>
      <c r="AB60" s="660">
        <f>0.99*X60</f>
        <v>143674.74</v>
      </c>
      <c r="AC60" s="660">
        <f>0.99*Y60</f>
        <v>132408.54</v>
      </c>
      <c r="AD60" s="646">
        <f>Master!J22-'New Ints'!AA60-'New Ints'!AB60-'New Ints'!AC60</f>
        <v>123187.73780000009</v>
      </c>
      <c r="AE60" s="646">
        <f>Master!J22</f>
        <v>525810.8378000001</v>
      </c>
      <c r="AF60" s="646">
        <f>Master!K22</f>
        <v>544344.53878100007</v>
      </c>
      <c r="AG60" s="3"/>
      <c r="AH60" s="87"/>
      <c r="AI60" s="87"/>
      <c r="AJ60" s="87"/>
      <c r="AK60" s="87"/>
      <c r="AL60" s="87"/>
      <c r="AM60" s="3"/>
      <c r="AN60" s="5">
        <f t="shared" ref="AN60:BK60" si="91">G60/C60-1</f>
        <v>0.1483939591061727</v>
      </c>
      <c r="AO60" s="5">
        <f t="shared" si="91"/>
        <v>0.12139230539491197</v>
      </c>
      <c r="AP60" s="5">
        <f t="shared" si="91"/>
        <v>6.2304094526954845E-2</v>
      </c>
      <c r="AQ60" s="5">
        <f t="shared" si="91"/>
        <v>3.632900062574751E-2</v>
      </c>
      <c r="AR60" s="5">
        <f t="shared" si="91"/>
        <v>1.2033160082364436E-2</v>
      </c>
      <c r="AS60" s="5">
        <f t="shared" si="91"/>
        <v>5.1232385840879413E-2</v>
      </c>
      <c r="AT60" s="5">
        <f t="shared" si="91"/>
        <v>3.2086387616539147E-2</v>
      </c>
      <c r="AU60" s="5">
        <f t="shared" si="91"/>
        <v>0.15445731471962887</v>
      </c>
      <c r="AV60" s="5">
        <f t="shared" si="91"/>
        <v>8.5847622361225673E-2</v>
      </c>
      <c r="AW60" s="5">
        <f t="shared" si="91"/>
        <v>0.22434627727363465</v>
      </c>
      <c r="AX60" s="5">
        <f t="shared" si="91"/>
        <v>0.2368186682832274</v>
      </c>
      <c r="AY60" s="5">
        <f t="shared" si="91"/>
        <v>8.1466327692592877E-2</v>
      </c>
      <c r="AZ60" s="5">
        <f t="shared" si="91"/>
        <v>6.8988095652719128E-2</v>
      </c>
      <c r="BA60" s="5">
        <f t="shared" si="91"/>
        <v>-5.1443477388447123E-2</v>
      </c>
      <c r="BB60" s="5">
        <f t="shared" si="91"/>
        <v>-0.17420428415829603</v>
      </c>
      <c r="BC60" s="5">
        <f t="shared" si="91"/>
        <v>-0.23503663934275687</v>
      </c>
      <c r="BD60" s="5">
        <f t="shared" si="91"/>
        <v>-0.16711953865702278</v>
      </c>
      <c r="BE60" s="5">
        <f t="shared" si="91"/>
        <v>-4.062880110000533E-2</v>
      </c>
      <c r="BF60" s="5">
        <f t="shared" si="91"/>
        <v>-1.996761216668741E-2</v>
      </c>
      <c r="BG60" s="5">
        <f t="shared" si="91"/>
        <v>0.10285220397579953</v>
      </c>
      <c r="BH60" s="5">
        <f t="shared" si="91"/>
        <v>-1.0000000000000009E-2</v>
      </c>
      <c r="BI60" s="5">
        <f t="shared" si="91"/>
        <v>-1.0000000000000009E-2</v>
      </c>
      <c r="BJ60" s="5">
        <f t="shared" si="91"/>
        <v>-9.9999999999998979E-3</v>
      </c>
      <c r="BK60" s="5">
        <f t="shared" si="91"/>
        <v>-0.10609153459886156</v>
      </c>
      <c r="BL60" s="174"/>
      <c r="BX60" s="528">
        <f>BX67*BX6</f>
        <v>124661.72145</v>
      </c>
      <c r="BY60" s="5">
        <f>BX60/S60-1</f>
        <v>-0.18768630339165282</v>
      </c>
      <c r="BZ60" s="589">
        <v>130307.2586104502</v>
      </c>
      <c r="CA60" s="5">
        <v>4.2825143334055182E-2</v>
      </c>
    </row>
    <row r="61" spans="1:79">
      <c r="A61" s="3"/>
      <c r="B61" s="3"/>
      <c r="C61" s="3"/>
      <c r="D61" s="3"/>
      <c r="E61" s="3"/>
      <c r="F61" s="3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3"/>
      <c r="AB61" s="3"/>
      <c r="AC61" s="3"/>
      <c r="AD61" s="87"/>
      <c r="AE61" s="87"/>
      <c r="AF61" s="87"/>
      <c r="AG61" s="3"/>
      <c r="AH61" s="87"/>
      <c r="AI61" s="87"/>
      <c r="AJ61" s="87"/>
      <c r="AK61" s="87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5">
        <f>(U60+4600+3600)/Q60-1</f>
        <v>-0.12458550163378923</v>
      </c>
      <c r="BC61" s="5">
        <f>(V60+7800+4100)/R60-1</f>
        <v>-0.16218648415356074</v>
      </c>
      <c r="BD61" s="3"/>
      <c r="BE61" s="3"/>
      <c r="BF61" s="3"/>
      <c r="BG61" s="3"/>
      <c r="BH61" s="3"/>
      <c r="BI61" s="3"/>
      <c r="BJ61" s="3"/>
      <c r="BK61" s="3"/>
      <c r="BL61" s="173"/>
      <c r="BX61" s="87"/>
      <c r="BY61" s="3"/>
      <c r="BZ61" s="87"/>
      <c r="CA61" s="3"/>
    </row>
    <row r="62" spans="1:79">
      <c r="A62" s="3"/>
      <c r="B62" s="3" t="str">
        <f>B40</f>
        <v>Peru (Wireless, Americatel, Direcnet)</v>
      </c>
      <c r="C62" s="3"/>
      <c r="D62" s="3"/>
      <c r="E62" s="3"/>
      <c r="F62" s="3"/>
      <c r="G62" s="87">
        <f t="shared" ref="G62:V62" si="92">G40-G52</f>
        <v>6132</v>
      </c>
      <c r="H62" s="87">
        <f t="shared" si="92"/>
        <v>12476</v>
      </c>
      <c r="I62" s="87">
        <f t="shared" si="92"/>
        <v>15952</v>
      </c>
      <c r="J62" s="87">
        <f t="shared" si="92"/>
        <v>11508.5</v>
      </c>
      <c r="K62" s="87">
        <f t="shared" si="92"/>
        <v>26107</v>
      </c>
      <c r="L62" s="87">
        <f t="shared" si="92"/>
        <v>18200</v>
      </c>
      <c r="M62" s="87">
        <f t="shared" si="92"/>
        <v>22561</v>
      </c>
      <c r="N62" s="87">
        <f t="shared" si="92"/>
        <v>24953</v>
      </c>
      <c r="O62" s="87">
        <f t="shared" si="92"/>
        <v>28593</v>
      </c>
      <c r="P62" s="87">
        <f t="shared" si="92"/>
        <v>33443</v>
      </c>
      <c r="Q62" s="87">
        <f t="shared" si="92"/>
        <v>37542</v>
      </c>
      <c r="R62" s="87">
        <f t="shared" si="92"/>
        <v>32441</v>
      </c>
      <c r="S62" s="87">
        <f t="shared" si="92"/>
        <v>42258</v>
      </c>
      <c r="T62" s="87">
        <f t="shared" si="92"/>
        <v>48901</v>
      </c>
      <c r="U62" s="87">
        <f t="shared" ref="U62" si="93">U40-U52</f>
        <v>41631</v>
      </c>
      <c r="V62" s="87">
        <f t="shared" si="92"/>
        <v>46829</v>
      </c>
      <c r="W62" s="87">
        <f t="shared" ref="W62" si="94">W40-W52</f>
        <v>43950</v>
      </c>
      <c r="X62" s="87">
        <f t="shared" ref="X62:Z62" si="95">X40-X52</f>
        <v>47144</v>
      </c>
      <c r="Y62" s="87">
        <f t="shared" si="95"/>
        <v>55315</v>
      </c>
      <c r="Z62" s="87">
        <f t="shared" si="95"/>
        <v>55651</v>
      </c>
      <c r="AA62" s="457">
        <v>50000</v>
      </c>
      <c r="AB62" s="457">
        <v>55000</v>
      </c>
      <c r="AC62" s="457">
        <v>57000</v>
      </c>
      <c r="AD62" s="645">
        <f>Master!J23-'New Ints'!AA62-'New Ints'!AB62-'New Ints'!AC62</f>
        <v>59744.098208020674</v>
      </c>
      <c r="AE62" s="87">
        <f t="shared" ref="AE62" si="96">AE40-AE52</f>
        <v>221744.09820802067</v>
      </c>
      <c r="AF62" s="87">
        <f t="shared" ref="AF62" si="97">AF40-AF52</f>
        <v>237677.48681665189</v>
      </c>
      <c r="AG62" s="3"/>
      <c r="AH62" s="87"/>
      <c r="AI62" s="87"/>
      <c r="AJ62" s="87"/>
      <c r="AK62" s="87"/>
      <c r="AL62" s="87"/>
      <c r="AM62" s="3"/>
      <c r="AN62" s="3"/>
      <c r="AO62" s="3"/>
      <c r="AP62" s="3"/>
      <c r="AQ62" s="3"/>
      <c r="AR62" s="5">
        <f t="shared" ref="AR62:BK62" si="98">K62/G62-1</f>
        <v>3.2575016307893021</v>
      </c>
      <c r="AS62" s="5">
        <f t="shared" si="98"/>
        <v>0.45880089772362931</v>
      </c>
      <c r="AT62" s="5">
        <f t="shared" si="98"/>
        <v>0.41430541624874628</v>
      </c>
      <c r="AU62" s="5">
        <f t="shared" si="98"/>
        <v>1.1682234869878787</v>
      </c>
      <c r="AV62" s="5">
        <f t="shared" si="98"/>
        <v>9.5223503274983745E-2</v>
      </c>
      <c r="AW62" s="5">
        <f t="shared" si="98"/>
        <v>0.83752747252747262</v>
      </c>
      <c r="AX62" s="5">
        <f t="shared" si="98"/>
        <v>0.66402198484109753</v>
      </c>
      <c r="AY62" s="5">
        <f t="shared" si="98"/>
        <v>0.30008415821744872</v>
      </c>
      <c r="AZ62" s="5">
        <f t="shared" si="98"/>
        <v>0.47791417479802756</v>
      </c>
      <c r="BA62" s="5">
        <f t="shared" si="98"/>
        <v>0.46221929850790899</v>
      </c>
      <c r="BB62" s="5">
        <f t="shared" si="98"/>
        <v>0.10891801182675409</v>
      </c>
      <c r="BC62" s="5">
        <f t="shared" si="98"/>
        <v>0.44351283869177882</v>
      </c>
      <c r="BD62" s="5">
        <f t="shared" si="98"/>
        <v>4.0039755785886699E-2</v>
      </c>
      <c r="BE62" s="5">
        <f t="shared" si="98"/>
        <v>-3.5929735588229317E-2</v>
      </c>
      <c r="BF62" s="5">
        <f t="shared" si="98"/>
        <v>0.3286973649443925</v>
      </c>
      <c r="BG62" s="5">
        <f t="shared" si="98"/>
        <v>0.18838753763693439</v>
      </c>
      <c r="BH62" s="5">
        <f t="shared" si="98"/>
        <v>0.13765642775881681</v>
      </c>
      <c r="BI62" s="5">
        <f t="shared" si="98"/>
        <v>0.16663838452401158</v>
      </c>
      <c r="BJ62" s="5">
        <f t="shared" si="98"/>
        <v>3.046190002711735E-2</v>
      </c>
      <c r="BK62" s="5">
        <f t="shared" si="98"/>
        <v>7.3549409858235659E-2</v>
      </c>
      <c r="BL62" s="174"/>
      <c r="BX62" s="87">
        <f>BX40-BX52</f>
        <v>47000</v>
      </c>
      <c r="BY62" s="5">
        <f>BX62/S62-1</f>
        <v>0.11221543849685256</v>
      </c>
      <c r="BZ62" s="87">
        <v>52073.470496090478</v>
      </c>
      <c r="CA62" s="5">
        <v>0.11199193867241397</v>
      </c>
    </row>
    <row r="63" spans="1:79">
      <c r="A63" s="3"/>
      <c r="B63" s="2" t="s">
        <v>20</v>
      </c>
      <c r="C63" s="2"/>
      <c r="D63" s="2"/>
      <c r="E63" s="2"/>
      <c r="F63" s="2"/>
      <c r="G63" s="379">
        <f t="shared" ref="G63:V63" si="99">G41-G53</f>
        <v>1034</v>
      </c>
      <c r="H63" s="379">
        <f t="shared" si="99"/>
        <v>1269</v>
      </c>
      <c r="I63" s="379">
        <f t="shared" si="99"/>
        <v>1982</v>
      </c>
      <c r="J63" s="379">
        <f t="shared" si="99"/>
        <v>8197</v>
      </c>
      <c r="K63" s="379">
        <f t="shared" si="99"/>
        <v>579</v>
      </c>
      <c r="L63" s="379">
        <f t="shared" si="99"/>
        <v>367</v>
      </c>
      <c r="M63" s="379">
        <f t="shared" si="99"/>
        <v>1485</v>
      </c>
      <c r="N63" s="379">
        <f t="shared" si="99"/>
        <v>865</v>
      </c>
      <c r="O63" s="379">
        <f t="shared" si="99"/>
        <v>843</v>
      </c>
      <c r="P63" s="379">
        <f t="shared" si="99"/>
        <v>1084</v>
      </c>
      <c r="Q63" s="379">
        <f t="shared" si="99"/>
        <v>1140</v>
      </c>
      <c r="R63" s="379">
        <f t="shared" si="99"/>
        <v>340</v>
      </c>
      <c r="S63" s="379">
        <f t="shared" si="99"/>
        <v>564</v>
      </c>
      <c r="T63" s="379">
        <f t="shared" si="99"/>
        <v>822</v>
      </c>
      <c r="U63" s="379">
        <f t="shared" ref="U63" si="100">U41-U53</f>
        <v>771</v>
      </c>
      <c r="V63" s="379">
        <f t="shared" si="99"/>
        <v>666</v>
      </c>
      <c r="W63" s="379">
        <f>W41-W53</f>
        <v>1483</v>
      </c>
      <c r="X63" s="379">
        <f t="shared" ref="X63:Z63" si="101">X41-X53</f>
        <v>963</v>
      </c>
      <c r="Y63" s="379">
        <f t="shared" si="101"/>
        <v>1092</v>
      </c>
      <c r="Z63" s="379">
        <f t="shared" si="101"/>
        <v>1294</v>
      </c>
      <c r="AA63" s="379">
        <f t="shared" ref="AA63:AC63" si="102">AA41-AA53</f>
        <v>1520.0749999999998</v>
      </c>
      <c r="AB63" s="379">
        <f t="shared" si="102"/>
        <v>987.07499999999993</v>
      </c>
      <c r="AC63" s="379">
        <f t="shared" si="102"/>
        <v>1119.3</v>
      </c>
      <c r="AD63" s="379">
        <f t="shared" ref="AD63:AF63" si="103">AD41-AD53</f>
        <v>1323.5500000000004</v>
      </c>
      <c r="AE63" s="379">
        <f t="shared" ref="AE63" si="104">AE41-AE53</f>
        <v>4950</v>
      </c>
      <c r="AF63" s="379">
        <f t="shared" si="103"/>
        <v>4950</v>
      </c>
      <c r="AG63" s="3"/>
      <c r="AH63" s="87"/>
      <c r="AI63" s="87"/>
      <c r="AJ63" s="87"/>
      <c r="AK63" s="87"/>
      <c r="AL63" s="87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173"/>
      <c r="BX63" s="379">
        <f>BX41-BX53</f>
        <v>700</v>
      </c>
      <c r="BY63" s="3"/>
      <c r="BZ63" s="379">
        <v>-715</v>
      </c>
      <c r="CA63" s="3"/>
    </row>
    <row r="64" spans="1:79">
      <c r="A64" s="3"/>
      <c r="B64" s="321" t="s">
        <v>68</v>
      </c>
      <c r="C64" s="321"/>
      <c r="D64" s="321"/>
      <c r="E64" s="321"/>
      <c r="F64" s="321"/>
      <c r="G64" s="479">
        <f t="shared" ref="G64:N64" si="105">G60+G62+G63</f>
        <v>137805</v>
      </c>
      <c r="H64" s="479">
        <f t="shared" si="105"/>
        <v>137651</v>
      </c>
      <c r="I64" s="479">
        <f t="shared" si="105"/>
        <v>147397</v>
      </c>
      <c r="J64" s="479">
        <f t="shared" si="105"/>
        <v>150541</v>
      </c>
      <c r="K64" s="479">
        <f t="shared" si="105"/>
        <v>158897</v>
      </c>
      <c r="L64" s="479">
        <f t="shared" si="105"/>
        <v>148821</v>
      </c>
      <c r="M64" s="479">
        <f t="shared" si="105"/>
        <v>157663</v>
      </c>
      <c r="N64" s="479">
        <f t="shared" si="105"/>
        <v>176862</v>
      </c>
      <c r="O64" s="479">
        <v>177597</v>
      </c>
      <c r="P64" s="479">
        <f t="shared" ref="P64:V64" si="106">P60+P62+P63</f>
        <v>194003</v>
      </c>
      <c r="Q64" s="479">
        <f t="shared" si="106"/>
        <v>203942</v>
      </c>
      <c r="R64" s="479">
        <f t="shared" si="106"/>
        <v>196130</v>
      </c>
      <c r="S64" s="479">
        <f t="shared" si="106"/>
        <v>196287</v>
      </c>
      <c r="T64" s="479">
        <f t="shared" si="106"/>
        <v>200995</v>
      </c>
      <c r="U64" s="479">
        <f t="shared" ref="U64" si="107">U60+U62+U63</f>
        <v>178873</v>
      </c>
      <c r="V64" s="479">
        <f t="shared" si="106"/>
        <v>172451</v>
      </c>
      <c r="W64" s="479">
        <f t="shared" ref="W64" si="108">W60+W62+W63</f>
        <v>173251</v>
      </c>
      <c r="X64" s="479">
        <f t="shared" ref="X64:Z64" si="109">X60+X62+X63</f>
        <v>193233</v>
      </c>
      <c r="Y64" s="479">
        <f t="shared" si="109"/>
        <v>190153</v>
      </c>
      <c r="Z64" s="479">
        <f t="shared" si="109"/>
        <v>194753</v>
      </c>
      <c r="AA64" s="479">
        <f t="shared" ref="AA64:AC64" si="110">AA60+AA62+AA63</f>
        <v>178059.89500000002</v>
      </c>
      <c r="AB64" s="479">
        <f t="shared" si="110"/>
        <v>199661.815</v>
      </c>
      <c r="AC64" s="479">
        <f t="shared" si="110"/>
        <v>190527.84</v>
      </c>
      <c r="AD64" s="479">
        <f t="shared" ref="AD64:AF64" si="111">AD60+AD62+AD63</f>
        <v>184255.38600802075</v>
      </c>
      <c r="AE64" s="479">
        <f t="shared" ref="AE64" si="112">AE60+AE62+AE63</f>
        <v>752504.93600802077</v>
      </c>
      <c r="AF64" s="479">
        <f t="shared" si="111"/>
        <v>786972.02559765195</v>
      </c>
      <c r="AG64" s="3"/>
      <c r="AH64" s="467"/>
      <c r="AI64" s="467"/>
      <c r="AJ64" s="467"/>
      <c r="AK64" s="467"/>
      <c r="AL64" s="467"/>
      <c r="AN64" s="5"/>
      <c r="AO64" s="5"/>
      <c r="AP64" s="5"/>
      <c r="AQ64" s="5"/>
      <c r="AR64" s="5">
        <f t="shared" ref="AR64:BK64" si="113">K64/G64-1</f>
        <v>0.15305685570189764</v>
      </c>
      <c r="AS64" s="5">
        <f t="shared" si="113"/>
        <v>8.1147249202693672E-2</v>
      </c>
      <c r="AT64" s="5">
        <f t="shared" si="113"/>
        <v>6.9648635996662156E-2</v>
      </c>
      <c r="AU64" s="5">
        <f t="shared" si="113"/>
        <v>0.17484273387316418</v>
      </c>
      <c r="AV64" s="5">
        <f t="shared" si="113"/>
        <v>0.11768629993014335</v>
      </c>
      <c r="AW64" s="5">
        <f t="shared" si="113"/>
        <v>0.30359962639681237</v>
      </c>
      <c r="AX64" s="5">
        <f t="shared" si="113"/>
        <v>0.29353113920196883</v>
      </c>
      <c r="AY64" s="5">
        <f t="shared" si="113"/>
        <v>0.10894369621512823</v>
      </c>
      <c r="AZ64" s="5">
        <f t="shared" si="113"/>
        <v>0.10523826415986748</v>
      </c>
      <c r="BA64" s="5">
        <f t="shared" si="113"/>
        <v>3.6040679783302387E-2</v>
      </c>
      <c r="BB64" s="5">
        <f t="shared" si="113"/>
        <v>-0.1229222033715468</v>
      </c>
      <c r="BC64" s="5">
        <f t="shared" si="113"/>
        <v>-0.12073114770815274</v>
      </c>
      <c r="BD64" s="5">
        <f t="shared" si="113"/>
        <v>-0.11735876548115765</v>
      </c>
      <c r="BE64" s="5">
        <f t="shared" si="113"/>
        <v>-3.8617876066568857E-2</v>
      </c>
      <c r="BF64" s="5">
        <f t="shared" si="113"/>
        <v>6.3061501735868442E-2</v>
      </c>
      <c r="BG64" s="5">
        <f t="shared" si="113"/>
        <v>0.12932369194727777</v>
      </c>
      <c r="BH64" s="5">
        <f t="shared" si="113"/>
        <v>2.7756809484505318E-2</v>
      </c>
      <c r="BI64" s="5">
        <f t="shared" si="113"/>
        <v>3.3269757236082942E-2</v>
      </c>
      <c r="BJ64" s="5">
        <f t="shared" si="113"/>
        <v>1.9712547264572056E-3</v>
      </c>
      <c r="BK64" s="5">
        <f t="shared" si="113"/>
        <v>-5.3902194020011285E-2</v>
      </c>
      <c r="BL64" s="174"/>
      <c r="BX64" s="479">
        <f>BX60+BX62+BX63</f>
        <v>172361.72145000001</v>
      </c>
      <c r="BY64" s="5">
        <f>BX64/S64-1</f>
        <v>-0.12188926699170088</v>
      </c>
      <c r="BZ64" s="479">
        <v>181665.72910654068</v>
      </c>
      <c r="CA64" s="5">
        <v>5.3433897782794393E-2</v>
      </c>
    </row>
    <row r="65" spans="1:79">
      <c r="A65" s="3"/>
      <c r="B65" s="3"/>
      <c r="C65" s="3"/>
      <c r="D65" s="3"/>
      <c r="E65" s="3"/>
      <c r="F65" s="3"/>
      <c r="G65" s="3"/>
      <c r="H65" s="3"/>
      <c r="I65" s="3"/>
      <c r="J65" s="3"/>
      <c r="K65" s="5"/>
      <c r="L65" s="5"/>
      <c r="M65" s="5"/>
      <c r="N65" s="5"/>
      <c r="O65" s="5"/>
      <c r="P65" s="480"/>
      <c r="Q65" s="3"/>
      <c r="R65" s="482"/>
      <c r="S65" s="8"/>
      <c r="T65" s="8"/>
      <c r="U65" s="8"/>
      <c r="V65" s="482"/>
      <c r="W65" s="8"/>
      <c r="X65" s="482"/>
      <c r="Y65" s="482"/>
      <c r="Z65" s="482"/>
      <c r="AA65" s="3"/>
      <c r="AB65" s="3"/>
      <c r="AC65" s="3"/>
      <c r="AD65" s="482"/>
      <c r="AE65" s="482"/>
      <c r="AF65" s="482"/>
      <c r="AG65" s="3"/>
      <c r="AH65" s="482"/>
      <c r="AI65" s="482"/>
      <c r="AJ65" s="482"/>
      <c r="AK65" s="482"/>
      <c r="BK65"/>
      <c r="BX65" s="482"/>
      <c r="BZ65" s="482"/>
    </row>
    <row r="66" spans="1:79">
      <c r="A66" s="3"/>
      <c r="B66" s="455" t="s">
        <v>2509</v>
      </c>
      <c r="C66" s="455"/>
      <c r="D66" s="455"/>
      <c r="E66" s="455"/>
      <c r="F66" s="455"/>
      <c r="G66" s="13" t="str">
        <f t="shared" ref="G66:Z66" si="114">G56</f>
        <v>Q1 19</v>
      </c>
      <c r="H66" s="13" t="str">
        <f t="shared" si="114"/>
        <v>Q2 19</v>
      </c>
      <c r="I66" s="13" t="str">
        <f t="shared" si="114"/>
        <v>Q3 19</v>
      </c>
      <c r="J66" s="13" t="str">
        <f t="shared" si="114"/>
        <v>Q4 19</v>
      </c>
      <c r="K66" s="13" t="str">
        <f t="shared" si="114"/>
        <v>Q1 20</v>
      </c>
      <c r="L66" s="13" t="str">
        <f t="shared" si="114"/>
        <v>Q2 20</v>
      </c>
      <c r="M66" s="13" t="str">
        <f t="shared" si="114"/>
        <v>Q3 20</v>
      </c>
      <c r="N66" s="13" t="str">
        <f t="shared" si="114"/>
        <v>Q4 20</v>
      </c>
      <c r="O66" s="13" t="str">
        <f t="shared" si="114"/>
        <v>Q1 21</v>
      </c>
      <c r="P66" s="13" t="str">
        <f t="shared" si="114"/>
        <v>Q2 21</v>
      </c>
      <c r="Q66" s="13" t="str">
        <f t="shared" si="114"/>
        <v>Q3 21</v>
      </c>
      <c r="R66" s="13" t="str">
        <f t="shared" si="114"/>
        <v>Q4 21</v>
      </c>
      <c r="S66" s="13" t="str">
        <f t="shared" si="114"/>
        <v>Q1 22</v>
      </c>
      <c r="T66" s="13" t="str">
        <f t="shared" si="114"/>
        <v>Q2 22</v>
      </c>
      <c r="U66" s="13" t="str">
        <f t="shared" ref="U66" si="115">U56</f>
        <v>Q3 22</v>
      </c>
      <c r="V66" s="13" t="str">
        <f t="shared" si="114"/>
        <v>Q4 22</v>
      </c>
      <c r="W66" s="13" t="str">
        <f t="shared" ref="W66" si="116">W56</f>
        <v>Q1 23</v>
      </c>
      <c r="X66" s="13" t="str">
        <f t="shared" si="114"/>
        <v>Q2 23</v>
      </c>
      <c r="Y66" s="13" t="str">
        <f t="shared" si="114"/>
        <v>Q3 23</v>
      </c>
      <c r="Z66" s="13" t="str">
        <f t="shared" si="114"/>
        <v>Q4 23</v>
      </c>
      <c r="AA66" s="13" t="str">
        <f t="shared" ref="AA66:AC66" si="117">AA56</f>
        <v>Q1 24e</v>
      </c>
      <c r="AB66" s="13" t="str">
        <f t="shared" si="117"/>
        <v>Q2 24e</v>
      </c>
      <c r="AC66" s="13" t="str">
        <f t="shared" si="117"/>
        <v>Q3 24e</v>
      </c>
      <c r="AD66" s="13" t="str">
        <f t="shared" ref="AD66:AF66" si="118">AD56</f>
        <v>Q4 24e</v>
      </c>
      <c r="AE66" s="13">
        <f t="shared" ref="AE66" si="119">AE56</f>
        <v>2024</v>
      </c>
      <c r="AF66" s="13">
        <f t="shared" si="118"/>
        <v>2025</v>
      </c>
      <c r="AG66" s="3"/>
      <c r="AH66" s="403"/>
      <c r="AI66" s="403"/>
      <c r="AJ66" s="403"/>
      <c r="AK66" s="403"/>
      <c r="AL66" s="403"/>
      <c r="BK66"/>
      <c r="BX66" s="13" t="str">
        <f>BX56</f>
        <v>Q1 23e</v>
      </c>
      <c r="BZ66" s="13" t="s">
        <v>3079</v>
      </c>
    </row>
    <row r="67" spans="1:79">
      <c r="A67" s="3"/>
      <c r="B67" s="3" t="s">
        <v>132</v>
      </c>
      <c r="C67" s="3"/>
      <c r="D67" s="3"/>
      <c r="E67" s="3"/>
      <c r="F67" s="3"/>
      <c r="G67" s="8">
        <f t="shared" ref="G67:Z67" si="120">G60/G6</f>
        <v>0.38347330137698027</v>
      </c>
      <c r="H67" s="8">
        <f t="shared" si="120"/>
        <v>0.36629861203494302</v>
      </c>
      <c r="I67" s="8">
        <f t="shared" si="120"/>
        <v>0.37754661627384767</v>
      </c>
      <c r="J67" s="8">
        <f t="shared" si="120"/>
        <v>0.3729589742420269</v>
      </c>
      <c r="K67" s="8">
        <f t="shared" si="120"/>
        <v>0.37809031660284659</v>
      </c>
      <c r="L67" s="8">
        <f t="shared" si="120"/>
        <v>0.39384382795373801</v>
      </c>
      <c r="M67" s="8">
        <f t="shared" si="120"/>
        <v>0.36376877485958842</v>
      </c>
      <c r="N67" s="8">
        <f t="shared" si="120"/>
        <v>0.37801636759516483</v>
      </c>
      <c r="O67" s="8">
        <f t="shared" si="120"/>
        <v>0.36679407451315044</v>
      </c>
      <c r="P67" s="8">
        <f t="shared" si="120"/>
        <v>0.38937232037346303</v>
      </c>
      <c r="Q67" s="8">
        <f t="shared" si="120"/>
        <v>0.39263109877786861</v>
      </c>
      <c r="R67" s="8">
        <f t="shared" si="120"/>
        <v>0.37719628412625472</v>
      </c>
      <c r="S67" s="8">
        <f t="shared" si="120"/>
        <v>0.37010821200581695</v>
      </c>
      <c r="T67" s="8">
        <f t="shared" si="120"/>
        <v>0.35615535297219919</v>
      </c>
      <c r="U67" s="8">
        <f t="shared" si="120"/>
        <v>0.33293486507783548</v>
      </c>
      <c r="V67" s="8">
        <f t="shared" si="120"/>
        <v>0.30058092683689547</v>
      </c>
      <c r="W67" s="8">
        <f t="shared" si="120"/>
        <v>0.30998881966187358</v>
      </c>
      <c r="X67" s="8">
        <f t="shared" si="120"/>
        <v>0.34718972636494561</v>
      </c>
      <c r="Y67" s="8">
        <f t="shared" si="120"/>
        <v>0.3316487963578294</v>
      </c>
      <c r="Z67" s="8">
        <f t="shared" si="120"/>
        <v>0.27547220350976792</v>
      </c>
      <c r="AA67" s="8">
        <f t="shared" ref="AA67:AC67" si="121">AA60/AA6</f>
        <v>0.29940383557585842</v>
      </c>
      <c r="AB67" s="8">
        <f t="shared" si="121"/>
        <v>0.33533446741589867</v>
      </c>
      <c r="AC67" s="8">
        <f t="shared" si="121"/>
        <v>0.32032420331146449</v>
      </c>
      <c r="AD67" s="8">
        <f>AD60/AD6</f>
        <v>0.26807873599000925</v>
      </c>
      <c r="AE67" s="8">
        <f>AE60/AE6</f>
        <v>0.30499999999999999</v>
      </c>
      <c r="AF67" s="8">
        <f>AF60/AF6</f>
        <v>0.31000000000000005</v>
      </c>
      <c r="AG67" s="3"/>
      <c r="AH67" s="8"/>
      <c r="AI67" s="8"/>
      <c r="AJ67" s="8"/>
      <c r="AK67" s="8"/>
      <c r="AL67" s="8"/>
      <c r="BK67"/>
      <c r="BX67" s="484">
        <v>0.28999999999999998</v>
      </c>
      <c r="BZ67" s="8">
        <v>0.31578370522879418</v>
      </c>
    </row>
    <row r="68" spans="1:79">
      <c r="A68" s="3"/>
      <c r="B68" s="3" t="str">
        <f>B62</f>
        <v>Peru (Wireless, Americatel, Direcnet)</v>
      </c>
      <c r="C68" s="3"/>
      <c r="D68" s="3"/>
      <c r="E68" s="3"/>
      <c r="F68" s="3"/>
      <c r="G68" s="8">
        <f t="shared" ref="G68:Z68" si="122">G62/G10</f>
        <v>4.7260479849555684E-2</v>
      </c>
      <c r="H68" s="8">
        <f t="shared" si="122"/>
        <v>8.6995934704237526E-2</v>
      </c>
      <c r="I68" s="8">
        <f t="shared" si="122"/>
        <v>0.10517779081804216</v>
      </c>
      <c r="J68" s="8">
        <f t="shared" si="122"/>
        <v>6.5176639822397409E-2</v>
      </c>
      <c r="K68" s="8">
        <f t="shared" si="122"/>
        <v>0.15889255413679354</v>
      </c>
      <c r="L68" s="8">
        <f t="shared" si="122"/>
        <v>0.14321236347612604</v>
      </c>
      <c r="M68" s="8">
        <f t="shared" si="122"/>
        <v>0.13571505913208773</v>
      </c>
      <c r="N68" s="8">
        <f t="shared" si="122"/>
        <v>0.13322761831539381</v>
      </c>
      <c r="O68" s="8">
        <f t="shared" si="122"/>
        <v>0.16462087627382119</v>
      </c>
      <c r="P68" s="8">
        <f t="shared" si="122"/>
        <v>0.17955973154362417</v>
      </c>
      <c r="Q68" s="8">
        <f t="shared" si="122"/>
        <v>0.1907273059806133</v>
      </c>
      <c r="R68" s="8">
        <f t="shared" si="122"/>
        <v>0.14423671164662205</v>
      </c>
      <c r="S68" s="8">
        <f t="shared" si="122"/>
        <v>0.18326351122791495</v>
      </c>
      <c r="T68" s="8">
        <f t="shared" si="122"/>
        <v>0.21352283643349926</v>
      </c>
      <c r="U68" s="8">
        <f t="shared" si="122"/>
        <v>0.18966114203970807</v>
      </c>
      <c r="V68" s="8">
        <f t="shared" si="122"/>
        <v>0.21239953555035468</v>
      </c>
      <c r="W68" s="8">
        <f t="shared" si="122"/>
        <v>0.22401525036698744</v>
      </c>
      <c r="X68" s="8">
        <f t="shared" si="122"/>
        <v>0.24238186557533817</v>
      </c>
      <c r="Y68" s="8">
        <f t="shared" si="122"/>
        <v>0.26931822054735161</v>
      </c>
      <c r="Z68" s="8">
        <f t="shared" si="122"/>
        <v>0.25331142407166329</v>
      </c>
      <c r="AA68" s="8">
        <f>AA62/AA10</f>
        <v>0.25135755702976204</v>
      </c>
      <c r="AB68" s="8">
        <f t="shared" ref="AB68:AC68" si="123">AB62/AB10</f>
        <v>0.25649231003410039</v>
      </c>
      <c r="AC68" s="8">
        <f t="shared" si="123"/>
        <v>0.2575995074697417</v>
      </c>
      <c r="AD68" s="8">
        <f>AD62/AD10</f>
        <v>0.23674954758051797</v>
      </c>
      <c r="AE68" s="8">
        <f>AE62/AE10</f>
        <v>0.25</v>
      </c>
      <c r="AF68" s="8">
        <f>AF62/AF10</f>
        <v>0.26</v>
      </c>
      <c r="AG68" s="3"/>
      <c r="AH68" s="8"/>
      <c r="AI68" s="8"/>
      <c r="AJ68" s="8"/>
      <c r="AK68" s="8"/>
      <c r="AL68" s="8"/>
      <c r="BK68"/>
      <c r="BX68" s="8">
        <f>BX62/BX10</f>
        <v>0.22883406608922582</v>
      </c>
      <c r="BZ68" s="8">
        <v>0.24426039176256223</v>
      </c>
    </row>
    <row r="69" spans="1:79">
      <c r="A69" s="3"/>
      <c r="B69" s="2" t="s">
        <v>20</v>
      </c>
      <c r="C69" s="2"/>
      <c r="D69" s="2"/>
      <c r="E69" s="2"/>
      <c r="F69" s="2"/>
      <c r="G69" s="83">
        <f t="shared" ref="G69:Z69" si="124">G63/G12</f>
        <v>0.23699289479715793</v>
      </c>
      <c r="H69" s="83">
        <f t="shared" si="124"/>
        <v>0.33705179282868525</v>
      </c>
      <c r="I69" s="83">
        <f t="shared" si="124"/>
        <v>0.50625798212005113</v>
      </c>
      <c r="J69" s="83">
        <f t="shared" si="124"/>
        <v>2.1268811624286457</v>
      </c>
      <c r="K69" s="83">
        <f t="shared" si="124"/>
        <v>8.4550233644859807E-2</v>
      </c>
      <c r="L69" s="83">
        <f t="shared" si="124"/>
        <v>0.10530846484935437</v>
      </c>
      <c r="M69" s="83">
        <f t="shared" si="124"/>
        <v>0.59662515066291688</v>
      </c>
      <c r="N69" s="83">
        <f t="shared" si="124"/>
        <v>0.28604497354497355</v>
      </c>
      <c r="O69" s="83">
        <f t="shared" si="124"/>
        <v>0.22938775510204082</v>
      </c>
      <c r="P69" s="83">
        <f t="shared" si="124"/>
        <v>0.46503646503646506</v>
      </c>
      <c r="Q69" s="83">
        <f t="shared" si="124"/>
        <v>0.2033535497681056</v>
      </c>
      <c r="R69" s="83">
        <f t="shared" si="124"/>
        <v>0.21451104100946372</v>
      </c>
      <c r="S69" s="83">
        <f t="shared" si="124"/>
        <v>0.11984700382490437</v>
      </c>
      <c r="T69" s="83">
        <f t="shared" si="124"/>
        <v>8.2109679352712017E-2</v>
      </c>
      <c r="U69" s="83">
        <f t="shared" si="124"/>
        <v>0.11188506747932085</v>
      </c>
      <c r="V69" s="83">
        <f t="shared" si="124"/>
        <v>0.10381917381137958</v>
      </c>
      <c r="W69" s="83">
        <f t="shared" si="124"/>
        <v>0.30799584631360333</v>
      </c>
      <c r="X69" s="83">
        <f t="shared" si="124"/>
        <v>0.18455346876197776</v>
      </c>
      <c r="Y69" s="83">
        <f t="shared" si="124"/>
        <v>0.12447281431665337</v>
      </c>
      <c r="Z69" s="83">
        <f t="shared" si="124"/>
        <v>0.27608278216343074</v>
      </c>
      <c r="AA69" s="83">
        <f t="shared" ref="AA69:AC69" si="125">AA63/AA12</f>
        <v>0.30950562987396407</v>
      </c>
      <c r="AB69" s="83">
        <f t="shared" si="125"/>
        <v>0.18545814262845806</v>
      </c>
      <c r="AC69" s="83">
        <f t="shared" si="125"/>
        <v>0.12508297517114675</v>
      </c>
      <c r="AD69" s="83">
        <f t="shared" ref="AD69:AF70" si="126">AD63/AD12</f>
        <v>0.28053914046139383</v>
      </c>
      <c r="AE69" s="83">
        <f t="shared" si="126"/>
        <v>0.20711297071129708</v>
      </c>
      <c r="AF69" s="83">
        <f t="shared" si="126"/>
        <v>0.20711297071129708</v>
      </c>
      <c r="AG69" s="3"/>
      <c r="AH69" s="8"/>
      <c r="AI69" s="8"/>
      <c r="AJ69" s="8"/>
      <c r="AK69" s="8"/>
      <c r="AL69" s="8"/>
      <c r="BK69"/>
      <c r="BX69" s="83">
        <f>BX63/BX12</f>
        <v>0.1</v>
      </c>
      <c r="BZ69" s="83">
        <v>-7.7574047954866013E-2</v>
      </c>
    </row>
    <row r="70" spans="1:79">
      <c r="A70" s="3"/>
      <c r="B70" s="3" t="s">
        <v>426</v>
      </c>
      <c r="C70" s="3"/>
      <c r="D70" s="3"/>
      <c r="E70" s="3"/>
      <c r="F70" s="3"/>
      <c r="G70" s="8">
        <f t="shared" ref="G70:Z70" si="127">G64/G13</f>
        <v>0.2902471645060396</v>
      </c>
      <c r="H70" s="8">
        <f t="shared" si="127"/>
        <v>0.28355982935034063</v>
      </c>
      <c r="I70" s="8">
        <f t="shared" si="127"/>
        <v>0.29568816099886053</v>
      </c>
      <c r="J70" s="8">
        <f t="shared" si="127"/>
        <v>0.28338089572917297</v>
      </c>
      <c r="K70" s="8">
        <f t="shared" si="127"/>
        <v>0.30508126373995603</v>
      </c>
      <c r="L70" s="8">
        <f t="shared" si="127"/>
        <v>0.3226163791421523</v>
      </c>
      <c r="M70" s="8">
        <f t="shared" si="127"/>
        <v>0.2941254384001194</v>
      </c>
      <c r="N70" s="8">
        <f t="shared" si="127"/>
        <v>0.29982200071199716</v>
      </c>
      <c r="O70" s="8">
        <f t="shared" si="127"/>
        <v>0.31225352038385329</v>
      </c>
      <c r="P70" s="8">
        <f t="shared" si="127"/>
        <v>0.32433674996196626</v>
      </c>
      <c r="Q70" s="8">
        <f t="shared" si="127"/>
        <v>0.32717303070846687</v>
      </c>
      <c r="R70" s="8">
        <f t="shared" si="127"/>
        <v>0.29736445908718073</v>
      </c>
      <c r="S70" s="8">
        <f t="shared" si="127"/>
        <v>0.30200741298056283</v>
      </c>
      <c r="T70" s="8">
        <f t="shared" si="127"/>
        <v>0.30280957022569666</v>
      </c>
      <c r="U70" s="8">
        <f t="shared" si="127"/>
        <v>0.28111602147428238</v>
      </c>
      <c r="V70" s="8">
        <f t="shared" si="127"/>
        <v>0.2683619511800388</v>
      </c>
      <c r="W70" s="8">
        <f t="shared" si="127"/>
        <v>0.28247230727592287</v>
      </c>
      <c r="X70" s="8">
        <f t="shared" si="127"/>
        <v>0.31281496722641056</v>
      </c>
      <c r="Y70" s="8">
        <f t="shared" si="127"/>
        <v>0.30797100275655209</v>
      </c>
      <c r="Z70" s="8">
        <f t="shared" si="127"/>
        <v>0.26875753820507231</v>
      </c>
      <c r="AA70" s="8">
        <f t="shared" ref="AA70:AC70" si="128">AA64/AA13</f>
        <v>0.28422715011137917</v>
      </c>
      <c r="AB70" s="8">
        <f t="shared" si="128"/>
        <v>0.30802226404056038</v>
      </c>
      <c r="AC70" s="8">
        <f t="shared" si="128"/>
        <v>0.29604372074446217</v>
      </c>
      <c r="AD70" s="8">
        <f t="shared" si="126"/>
        <v>0.25712801202681013</v>
      </c>
      <c r="AE70" s="8">
        <f t="shared" si="126"/>
        <v>0.28559727408741908</v>
      </c>
      <c r="AF70" s="8">
        <f t="shared" si="126"/>
        <v>0.29212089427550991</v>
      </c>
      <c r="AG70" s="3"/>
      <c r="AH70" s="8"/>
      <c r="AI70" s="8"/>
      <c r="AJ70" s="8"/>
      <c r="AK70" s="8"/>
      <c r="AL70" s="8"/>
      <c r="BK70"/>
      <c r="BX70" s="8">
        <f>BX64/BX13</f>
        <v>0.26836876843406327</v>
      </c>
      <c r="BZ70" s="8">
        <v>0.28606409226703106</v>
      </c>
    </row>
    <row r="71" spans="1:79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8"/>
      <c r="U71" s="8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BK71"/>
      <c r="BX71" s="3"/>
      <c r="BZ71" s="3"/>
    </row>
    <row r="72" spans="1:79">
      <c r="A72" s="3"/>
      <c r="B72" s="95" t="s">
        <v>3043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BK72"/>
      <c r="BX72" s="3"/>
      <c r="BZ72" s="3"/>
    </row>
    <row r="73" spans="1:79">
      <c r="A73" s="3"/>
      <c r="B73" s="3" t="s">
        <v>132</v>
      </c>
      <c r="C73" s="3"/>
      <c r="D73" s="3"/>
      <c r="E73" s="3"/>
      <c r="F73" s="3"/>
      <c r="G73" s="87">
        <f t="shared" ref="G73:AC73" si="129">G6-G60</f>
        <v>210034</v>
      </c>
      <c r="H73" s="87">
        <f t="shared" si="129"/>
        <v>214359</v>
      </c>
      <c r="I73" s="87">
        <f t="shared" si="129"/>
        <v>213443</v>
      </c>
      <c r="J73" s="87">
        <f t="shared" si="129"/>
        <v>219968.5</v>
      </c>
      <c r="K73" s="87">
        <f t="shared" si="129"/>
        <v>217470</v>
      </c>
      <c r="L73" s="87">
        <f t="shared" si="129"/>
        <v>200471</v>
      </c>
      <c r="M73" s="87">
        <f t="shared" si="129"/>
        <v>233696</v>
      </c>
      <c r="N73" s="87">
        <f t="shared" si="129"/>
        <v>248526</v>
      </c>
      <c r="O73" s="87">
        <f t="shared" si="129"/>
        <v>247833</v>
      </c>
      <c r="P73" s="87">
        <f t="shared" si="129"/>
        <v>250096</v>
      </c>
      <c r="Q73" s="87">
        <f t="shared" si="129"/>
        <v>255644</v>
      </c>
      <c r="R73" s="87">
        <f t="shared" si="129"/>
        <v>269712</v>
      </c>
      <c r="S73" s="87">
        <f t="shared" si="129"/>
        <v>261184</v>
      </c>
      <c r="T73" s="87">
        <f t="shared" si="129"/>
        <v>273464</v>
      </c>
      <c r="U73" s="87">
        <f t="shared" si="129"/>
        <v>273432</v>
      </c>
      <c r="V73" s="87">
        <f t="shared" si="129"/>
        <v>290759</v>
      </c>
      <c r="W73" s="87">
        <f t="shared" si="129"/>
        <v>284513</v>
      </c>
      <c r="X73" s="87">
        <f t="shared" si="129"/>
        <v>272876</v>
      </c>
      <c r="Y73" s="87">
        <f t="shared" si="129"/>
        <v>269530</v>
      </c>
      <c r="Z73" s="87">
        <f t="shared" si="129"/>
        <v>362453</v>
      </c>
      <c r="AA73" s="87">
        <f t="shared" si="129"/>
        <v>296099.45499999996</v>
      </c>
      <c r="AB73" s="87">
        <f t="shared" si="129"/>
        <v>284777.31</v>
      </c>
      <c r="AC73" s="87">
        <f t="shared" si="129"/>
        <v>280949.36</v>
      </c>
      <c r="AD73" s="87">
        <f>AD6-AD60</f>
        <v>336332.99720000022</v>
      </c>
      <c r="AE73" s="87">
        <f>AE6-AE60</f>
        <v>1198159.1222000001</v>
      </c>
      <c r="AF73" s="87">
        <f>AF6-AF60</f>
        <v>1211605.586319</v>
      </c>
      <c r="AG73" s="3"/>
      <c r="AH73" s="3"/>
      <c r="AI73" s="3"/>
      <c r="AJ73" s="3"/>
      <c r="AK73" s="3"/>
      <c r="AR73" s="5">
        <f t="shared" ref="AR73:BK73" si="130">K73/G73-1</f>
        <v>3.5403791767047332E-2</v>
      </c>
      <c r="AS73" s="5">
        <f t="shared" si="130"/>
        <v>-6.4788508996589833E-2</v>
      </c>
      <c r="AT73" s="5">
        <f t="shared" si="130"/>
        <v>9.4887159569533752E-2</v>
      </c>
      <c r="AU73" s="5">
        <f t="shared" si="130"/>
        <v>0.12982540681961274</v>
      </c>
      <c r="AV73" s="5">
        <f t="shared" si="130"/>
        <v>0.13961925782866613</v>
      </c>
      <c r="AW73" s="5">
        <f t="shared" si="130"/>
        <v>0.24754203849933409</v>
      </c>
      <c r="AX73" s="5">
        <f t="shared" si="130"/>
        <v>9.3916883472545454E-2</v>
      </c>
      <c r="AY73" s="5">
        <f t="shared" si="130"/>
        <v>8.5246614036358359E-2</v>
      </c>
      <c r="AZ73" s="5">
        <f t="shared" si="130"/>
        <v>5.3870953424281609E-2</v>
      </c>
      <c r="BA73" s="5">
        <f t="shared" si="130"/>
        <v>9.3436120529716504E-2</v>
      </c>
      <c r="BB73" s="5">
        <f t="shared" si="130"/>
        <v>6.958113626762219E-2</v>
      </c>
      <c r="BC73" s="5">
        <f t="shared" si="130"/>
        <v>7.803508928041758E-2</v>
      </c>
      <c r="BD73" s="5">
        <f t="shared" si="130"/>
        <v>8.9320172751776505E-2</v>
      </c>
      <c r="BE73" s="5">
        <f t="shared" si="130"/>
        <v>-2.1501916157153911E-3</v>
      </c>
      <c r="BF73" s="5">
        <f t="shared" si="130"/>
        <v>-1.4270458468650382E-2</v>
      </c>
      <c r="BG73" s="5">
        <f t="shared" si="130"/>
        <v>0.24657534246575352</v>
      </c>
      <c r="BH73" s="5">
        <f t="shared" si="130"/>
        <v>4.0723815783461514E-2</v>
      </c>
      <c r="BI73" s="5">
        <f t="shared" si="130"/>
        <v>4.3614352306542203E-2</v>
      </c>
      <c r="BJ73" s="5">
        <f t="shared" si="130"/>
        <v>4.2367677067487897E-2</v>
      </c>
      <c r="BK73" s="5">
        <f t="shared" si="130"/>
        <v>-7.2064523676172554E-2</v>
      </c>
      <c r="BL73" s="174"/>
      <c r="BX73" s="87">
        <f>BX6-BX60</f>
        <v>305206.28354999999</v>
      </c>
      <c r="BY73" s="5">
        <f>BX73/S73-1</f>
        <v>0.1685489292988851</v>
      </c>
      <c r="BZ73" s="87">
        <v>282339.93138954975</v>
      </c>
      <c r="CA73" s="5">
        <v>-2.8955487570291094E-2</v>
      </c>
    </row>
    <row r="74" spans="1:7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BK74"/>
      <c r="BX74" s="3"/>
      <c r="BZ74" s="3"/>
    </row>
    <row r="75" spans="1:79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BK75"/>
      <c r="BX75" s="3"/>
      <c r="BZ75" s="3"/>
    </row>
    <row r="76" spans="1:79">
      <c r="A76" s="3"/>
      <c r="B76" s="455" t="s">
        <v>2500</v>
      </c>
      <c r="C76" s="13" t="str">
        <f t="shared" ref="C76:AF76" si="131">C88</f>
        <v>Q1 18</v>
      </c>
      <c r="D76" s="13" t="str">
        <f t="shared" si="131"/>
        <v>Q2 18</v>
      </c>
      <c r="E76" s="13" t="str">
        <f t="shared" si="131"/>
        <v>Q3 18</v>
      </c>
      <c r="F76" s="13" t="str">
        <f t="shared" si="131"/>
        <v>Q4 18</v>
      </c>
      <c r="G76" s="13" t="str">
        <f t="shared" si="131"/>
        <v>Q1 19</v>
      </c>
      <c r="H76" s="13" t="str">
        <f t="shared" si="131"/>
        <v>Q2 19</v>
      </c>
      <c r="I76" s="13" t="str">
        <f t="shared" si="131"/>
        <v>Q3 19</v>
      </c>
      <c r="J76" s="13" t="str">
        <f t="shared" si="131"/>
        <v>Q4 19</v>
      </c>
      <c r="K76" s="13" t="str">
        <f t="shared" si="131"/>
        <v>Q1 20</v>
      </c>
      <c r="L76" s="13" t="str">
        <f t="shared" si="131"/>
        <v>Q2 20</v>
      </c>
      <c r="M76" s="13" t="str">
        <f t="shared" si="131"/>
        <v>Q3 20</v>
      </c>
      <c r="N76" s="13" t="str">
        <f t="shared" si="131"/>
        <v>Q4 20</v>
      </c>
      <c r="O76" s="13" t="str">
        <f t="shared" si="131"/>
        <v>Q1 21</v>
      </c>
      <c r="P76" s="13" t="str">
        <f t="shared" si="131"/>
        <v>Q2 21</v>
      </c>
      <c r="Q76" s="13" t="str">
        <f t="shared" si="131"/>
        <v>Q3 21</v>
      </c>
      <c r="R76" s="13" t="str">
        <f t="shared" si="131"/>
        <v>Q4 21</v>
      </c>
      <c r="S76" s="13" t="str">
        <f t="shared" si="131"/>
        <v>Q1 22</v>
      </c>
      <c r="T76" s="13" t="str">
        <f t="shared" si="131"/>
        <v>Q2 22</v>
      </c>
      <c r="U76" s="13" t="str">
        <f t="shared" ref="U76" si="132">U88</f>
        <v>Q3 22</v>
      </c>
      <c r="V76" s="13" t="str">
        <f t="shared" si="131"/>
        <v>Q4 22</v>
      </c>
      <c r="W76" s="13" t="str">
        <f t="shared" si="131"/>
        <v>Q1 23</v>
      </c>
      <c r="X76" s="13" t="str">
        <f t="shared" si="131"/>
        <v>Q2 23</v>
      </c>
      <c r="Y76" s="13" t="str">
        <f t="shared" si="131"/>
        <v>Q3 23</v>
      </c>
      <c r="Z76" s="13" t="str">
        <f t="shared" si="131"/>
        <v>Q4 23</v>
      </c>
      <c r="AA76" s="13" t="str">
        <f t="shared" si="131"/>
        <v>Q1 24e</v>
      </c>
      <c r="AB76" s="13" t="str">
        <f t="shared" si="131"/>
        <v>Q2 24e</v>
      </c>
      <c r="AC76" s="13" t="str">
        <f t="shared" si="131"/>
        <v>Q3 24e</v>
      </c>
      <c r="AD76" s="13" t="str">
        <f t="shared" si="131"/>
        <v>Q4 24e</v>
      </c>
      <c r="AE76" s="13">
        <f t="shared" si="131"/>
        <v>2024</v>
      </c>
      <c r="AF76" s="13">
        <f t="shared" si="131"/>
        <v>2025</v>
      </c>
      <c r="AG76" s="3"/>
      <c r="AH76" s="403"/>
      <c r="AI76" s="403"/>
      <c r="AJ76" s="403"/>
      <c r="AK76" s="403"/>
      <c r="AL76" s="403"/>
      <c r="BK76"/>
      <c r="BX76" s="13" t="str">
        <f>BX88</f>
        <v>Q1 23e</v>
      </c>
      <c r="BZ76" s="13" t="s">
        <v>3079</v>
      </c>
    </row>
    <row r="77" spans="1:79">
      <c r="A77" s="3"/>
      <c r="B77" s="3" t="s">
        <v>28</v>
      </c>
      <c r="C77" s="3"/>
      <c r="D77" s="3"/>
      <c r="E77" s="3"/>
      <c r="F77" s="3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3"/>
      <c r="AB77" s="3"/>
      <c r="AC77" s="3"/>
      <c r="AD77" s="87"/>
      <c r="AE77" s="87"/>
      <c r="AF77" s="87"/>
      <c r="AG77" s="3"/>
      <c r="AH77" s="87"/>
      <c r="AI77" s="87"/>
      <c r="AJ77" s="87"/>
      <c r="AK77" s="87"/>
      <c r="BK77"/>
      <c r="BX77" s="87"/>
      <c r="BZ77" s="87"/>
    </row>
    <row r="78" spans="1:79">
      <c r="A78" s="3"/>
      <c r="B78" s="2" t="s">
        <v>29</v>
      </c>
      <c r="C78" s="2"/>
      <c r="D78" s="2"/>
      <c r="E78" s="2"/>
      <c r="F78" s="2"/>
      <c r="G78" s="379"/>
      <c r="H78" s="379"/>
      <c r="I78" s="379"/>
      <c r="J78" s="379"/>
      <c r="K78" s="379"/>
      <c r="L78" s="379"/>
      <c r="M78" s="379"/>
      <c r="N78" s="379"/>
      <c r="O78" s="379"/>
      <c r="P78" s="379"/>
      <c r="Q78" s="379"/>
      <c r="R78" s="379"/>
      <c r="S78" s="379"/>
      <c r="T78" s="379"/>
      <c r="U78" s="379"/>
      <c r="V78" s="379"/>
      <c r="W78" s="379"/>
      <c r="X78" s="379"/>
      <c r="Y78" s="379"/>
      <c r="Z78" s="379"/>
      <c r="AA78" s="379"/>
      <c r="AB78" s="379"/>
      <c r="AC78" s="379"/>
      <c r="AD78" s="379"/>
      <c r="AE78" s="87"/>
      <c r="AF78" s="87"/>
      <c r="AG78" s="3"/>
      <c r="AH78" s="87"/>
      <c r="AI78" s="87"/>
      <c r="AJ78" s="87"/>
      <c r="AK78" s="87"/>
      <c r="BK78"/>
      <c r="BX78" s="379"/>
      <c r="BZ78" s="379"/>
    </row>
    <row r="79" spans="1:79">
      <c r="A79" s="3"/>
      <c r="B79" s="3" t="str">
        <f>B60</f>
        <v>Chile (inc wholesale)</v>
      </c>
      <c r="C79" s="3"/>
      <c r="D79" s="3"/>
      <c r="E79" s="3" t="s">
        <v>38</v>
      </c>
      <c r="F79" s="3"/>
      <c r="G79" s="266">
        <f>130600-121300</f>
        <v>9300</v>
      </c>
      <c r="H79" s="266">
        <f>123900-115300</f>
        <v>8600</v>
      </c>
      <c r="I79" s="266">
        <f>129500-120400</f>
        <v>9100</v>
      </c>
      <c r="J79" s="266">
        <f>247400-237700</f>
        <v>9700</v>
      </c>
      <c r="K79" s="457">
        <f t="shared" ref="K79:Z79" si="133">G79/G83*K83</f>
        <v>12746.192893401016</v>
      </c>
      <c r="L79" s="457">
        <f t="shared" si="133"/>
        <v>11917.439613526571</v>
      </c>
      <c r="M79" s="457">
        <f t="shared" si="133"/>
        <v>12250.985436893205</v>
      </c>
      <c r="N79" s="457">
        <f t="shared" si="133"/>
        <v>11887.512410867406</v>
      </c>
      <c r="O79" s="457">
        <f t="shared" si="133"/>
        <v>13808.375634517768</v>
      </c>
      <c r="P79" s="457">
        <f t="shared" si="133"/>
        <v>12152.173913043478</v>
      </c>
      <c r="Q79" s="457">
        <f t="shared" si="133"/>
        <v>12921.11650485437</v>
      </c>
      <c r="R79" s="457">
        <f t="shared" si="133"/>
        <v>12804.630381803412</v>
      </c>
      <c r="S79" s="457">
        <f t="shared" si="133"/>
        <v>12129.654822335026</v>
      </c>
      <c r="T79" s="457">
        <f t="shared" si="133"/>
        <v>14007.613526570049</v>
      </c>
      <c r="U79" s="457">
        <f t="shared" si="133"/>
        <v>14893.961165048544</v>
      </c>
      <c r="V79" s="457">
        <f t="shared" si="133"/>
        <v>18271.441465836266</v>
      </c>
      <c r="W79" s="457">
        <f t="shared" si="133"/>
        <v>16351.477157360407</v>
      </c>
      <c r="X79" s="457">
        <f t="shared" si="133"/>
        <v>14915.806763285025</v>
      </c>
      <c r="Y79" s="457">
        <f t="shared" si="133"/>
        <v>15859.621359223302</v>
      </c>
      <c r="Z79" s="457">
        <f t="shared" si="133"/>
        <v>16270.417005144867</v>
      </c>
      <c r="AA79" s="457">
        <f>1.05*W79</f>
        <v>17169.051015228426</v>
      </c>
      <c r="AB79" s="457">
        <f t="shared" ref="AB79:AC79" si="134">1.05*X79</f>
        <v>15661.597101449277</v>
      </c>
      <c r="AC79" s="457">
        <f t="shared" si="134"/>
        <v>16652.602427184469</v>
      </c>
      <c r="AD79" s="646">
        <f>Master!J136-'New Ints'!AA79-'New Ints'!AB79-'New Ints'!AC79</f>
        <v>17083.937855402113</v>
      </c>
      <c r="AE79" s="646">
        <f>Master!J136</f>
        <v>66567.188399264283</v>
      </c>
      <c r="AF79" s="646">
        <f>Master!K136</f>
        <v>69895.547819227504</v>
      </c>
      <c r="AG79" s="3"/>
      <c r="AH79" s="87"/>
      <c r="AI79" s="87"/>
      <c r="AJ79" s="87"/>
      <c r="AK79" s="87"/>
      <c r="BK79"/>
      <c r="BX79" s="457">
        <v>12245</v>
      </c>
      <c r="BZ79" s="577">
        <v>13314.013900171494</v>
      </c>
    </row>
    <row r="80" spans="1:79">
      <c r="A80" s="3"/>
      <c r="B80" s="3"/>
      <c r="C80" s="3"/>
      <c r="D80" s="3"/>
      <c r="E80" s="3"/>
      <c r="F80" s="3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3"/>
      <c r="AB80" s="3"/>
      <c r="AC80" s="3"/>
      <c r="AD80" s="87"/>
      <c r="AE80" s="87"/>
      <c r="AF80" s="87"/>
      <c r="AG80" s="3"/>
      <c r="AH80" s="87"/>
      <c r="AI80" s="87"/>
      <c r="AJ80" s="87"/>
      <c r="AK80" s="87"/>
      <c r="BK80"/>
      <c r="BX80" s="457"/>
      <c r="BZ80" s="87"/>
    </row>
    <row r="81" spans="1:79">
      <c r="A81" s="3"/>
      <c r="B81" s="3" t="s">
        <v>2499</v>
      </c>
      <c r="C81" s="3"/>
      <c r="D81" s="3"/>
      <c r="E81" s="3"/>
      <c r="F81" s="3"/>
      <c r="G81" s="87">
        <f t="shared" ref="G81:R81" si="135">G83-G79</f>
        <v>10400</v>
      </c>
      <c r="H81" s="87">
        <f t="shared" si="135"/>
        <v>12100</v>
      </c>
      <c r="I81" s="87">
        <f t="shared" si="135"/>
        <v>11500</v>
      </c>
      <c r="J81" s="87">
        <f t="shared" si="135"/>
        <v>12458</v>
      </c>
      <c r="K81" s="87">
        <f t="shared" si="135"/>
        <v>14253.807106598984</v>
      </c>
      <c r="L81" s="87">
        <f t="shared" si="135"/>
        <v>16767.560386473429</v>
      </c>
      <c r="M81" s="87">
        <f t="shared" si="135"/>
        <v>15482.014563106795</v>
      </c>
      <c r="N81" s="87">
        <f t="shared" si="135"/>
        <v>15267.487589132594</v>
      </c>
      <c r="O81" s="457">
        <f t="shared" si="135"/>
        <v>15441.624365482232</v>
      </c>
      <c r="P81" s="457">
        <f t="shared" si="135"/>
        <v>17097.82608695652</v>
      </c>
      <c r="Q81" s="457">
        <f t="shared" si="135"/>
        <v>16328.88349514563</v>
      </c>
      <c r="R81" s="457">
        <f t="shared" si="135"/>
        <v>16445.369618196586</v>
      </c>
      <c r="S81" s="457">
        <f t="shared" ref="S81:Z81" si="136">S83-S79</f>
        <v>13564.345177664974</v>
      </c>
      <c r="T81" s="457">
        <f t="shared" si="136"/>
        <v>19708.38647342995</v>
      </c>
      <c r="U81" s="457">
        <f t="shared" si="136"/>
        <v>18822.038834951454</v>
      </c>
      <c r="V81" s="457">
        <f t="shared" si="136"/>
        <v>23466.558534163734</v>
      </c>
      <c r="W81" s="457">
        <f t="shared" si="136"/>
        <v>18285.522842639592</v>
      </c>
      <c r="X81" s="457">
        <f t="shared" si="136"/>
        <v>20986.193236714975</v>
      </c>
      <c r="Y81" s="457">
        <f t="shared" si="136"/>
        <v>20042.378640776697</v>
      </c>
      <c r="Z81" s="457">
        <f t="shared" si="136"/>
        <v>20896.582994855133</v>
      </c>
      <c r="AA81" s="457">
        <f>1.05*W81</f>
        <v>19199.798984771573</v>
      </c>
      <c r="AB81" s="457">
        <f t="shared" ref="AB81:AC81" si="137">1.05*X81</f>
        <v>22035.502898550723</v>
      </c>
      <c r="AC81" s="457">
        <f t="shared" si="137"/>
        <v>21044.497572815533</v>
      </c>
      <c r="AD81" s="645">
        <f>Master!J166-'New Ints'!AA81-'New Ints'!AB81-'New Ints'!AC81</f>
        <v>21941.412144597882</v>
      </c>
      <c r="AE81" s="645">
        <f>Master!J166</f>
        <v>84221.211600735711</v>
      </c>
      <c r="AF81" s="645">
        <f>Master!K166</f>
        <v>88432.272180772503</v>
      </c>
      <c r="AG81" s="3"/>
      <c r="AH81" s="87"/>
      <c r="AI81" s="87"/>
      <c r="AJ81" s="87"/>
      <c r="AK81" s="87"/>
      <c r="BK81"/>
      <c r="BX81" s="457">
        <v>18230</v>
      </c>
      <c r="BZ81" s="87">
        <v>9362.324379456637</v>
      </c>
    </row>
    <row r="82" spans="1:79">
      <c r="A82" s="3"/>
      <c r="B82" s="2" t="s">
        <v>20</v>
      </c>
      <c r="C82" s="2"/>
      <c r="D82" s="2"/>
      <c r="E82" s="2"/>
      <c r="F82" s="2"/>
      <c r="G82" s="522">
        <v>0</v>
      </c>
      <c r="H82" s="522">
        <v>0</v>
      </c>
      <c r="I82" s="522">
        <v>0</v>
      </c>
      <c r="J82" s="522">
        <v>0</v>
      </c>
      <c r="K82" s="522">
        <v>0</v>
      </c>
      <c r="L82" s="522">
        <v>0</v>
      </c>
      <c r="M82" s="522">
        <v>0</v>
      </c>
      <c r="N82" s="522">
        <v>0</v>
      </c>
      <c r="O82" s="522">
        <v>0</v>
      </c>
      <c r="P82" s="522">
        <v>0</v>
      </c>
      <c r="Q82" s="522">
        <v>0</v>
      </c>
      <c r="R82" s="522">
        <v>0</v>
      </c>
      <c r="S82" s="522">
        <v>0</v>
      </c>
      <c r="T82" s="522">
        <v>0</v>
      </c>
      <c r="U82" s="522">
        <v>0</v>
      </c>
      <c r="V82" s="522">
        <v>0</v>
      </c>
      <c r="W82" s="522">
        <v>0</v>
      </c>
      <c r="X82" s="522">
        <v>0</v>
      </c>
      <c r="Y82" s="522">
        <v>0</v>
      </c>
      <c r="Z82" s="522">
        <v>0</v>
      </c>
      <c r="AA82" s="522">
        <v>0</v>
      </c>
      <c r="AB82" s="522">
        <v>0</v>
      </c>
      <c r="AC82" s="522">
        <v>0</v>
      </c>
      <c r="AD82" s="522"/>
      <c r="AE82" s="87"/>
      <c r="AF82" s="87"/>
      <c r="AG82" s="3"/>
      <c r="AH82" s="87"/>
      <c r="AI82" s="87"/>
      <c r="AJ82" s="87"/>
      <c r="AK82" s="87"/>
      <c r="BK82"/>
      <c r="BX82" s="522"/>
      <c r="BZ82" s="379"/>
    </row>
    <row r="83" spans="1:79">
      <c r="A83" s="3"/>
      <c r="B83" s="3" t="s">
        <v>68</v>
      </c>
      <c r="C83" s="3"/>
      <c r="D83" s="3"/>
      <c r="E83" s="3"/>
      <c r="F83" s="3"/>
      <c r="G83" s="266">
        <v>19700</v>
      </c>
      <c r="H83" s="266">
        <v>20700</v>
      </c>
      <c r="I83" s="266">
        <v>20600</v>
      </c>
      <c r="J83" s="266">
        <f>J42-325400</f>
        <v>22158</v>
      </c>
      <c r="K83" s="266">
        <v>27000</v>
      </c>
      <c r="L83" s="266">
        <f>55685-K83</f>
        <v>28685</v>
      </c>
      <c r="M83" s="266">
        <f>83418-K83-L83</f>
        <v>27733</v>
      </c>
      <c r="N83" s="266">
        <f>110573-K83-L83-M83</f>
        <v>27155</v>
      </c>
      <c r="O83" s="266">
        <f t="shared" ref="O83:Q83" si="138">117000/4</f>
        <v>29250</v>
      </c>
      <c r="P83" s="266">
        <f t="shared" si="138"/>
        <v>29250</v>
      </c>
      <c r="Q83" s="266">
        <f t="shared" si="138"/>
        <v>29250</v>
      </c>
      <c r="R83" s="266">
        <f>117000/4</f>
        <v>29250</v>
      </c>
      <c r="S83" s="642">
        <v>25694</v>
      </c>
      <c r="T83" s="266">
        <f>134864/4</f>
        <v>33716</v>
      </c>
      <c r="U83" s="266">
        <f>134864/4</f>
        <v>33716</v>
      </c>
      <c r="V83" s="266">
        <f>134864-S83-T83-U83</f>
        <v>41738</v>
      </c>
      <c r="W83" s="642">
        <v>34637</v>
      </c>
      <c r="X83" s="266">
        <f>143608/4</f>
        <v>35902</v>
      </c>
      <c r="Y83" s="266">
        <f>143608/4</f>
        <v>35902</v>
      </c>
      <c r="Z83" s="266">
        <f>143608-W83-X83-Y83</f>
        <v>37167</v>
      </c>
      <c r="AA83" s="87">
        <f>AA79+AA81+AA82</f>
        <v>36368.85</v>
      </c>
      <c r="AB83" s="87">
        <f t="shared" ref="AB83:AD83" si="139">AB79+AB81+AB82</f>
        <v>37697.1</v>
      </c>
      <c r="AC83" s="87">
        <f t="shared" si="139"/>
        <v>37697.100000000006</v>
      </c>
      <c r="AD83" s="87">
        <f t="shared" si="139"/>
        <v>39025.349999999991</v>
      </c>
      <c r="AE83" s="577">
        <f t="shared" ref="AE83:AF83" si="140">AE79+AE81</f>
        <v>150788.4</v>
      </c>
      <c r="AF83" s="577">
        <f t="shared" si="140"/>
        <v>158327.82</v>
      </c>
      <c r="AG83" s="3"/>
      <c r="AH83" s="87"/>
      <c r="AI83" s="87"/>
      <c r="AJ83" s="87"/>
      <c r="AK83" s="87"/>
      <c r="BK83"/>
      <c r="BX83" s="87">
        <f>BX79+BX81</f>
        <v>30475</v>
      </c>
      <c r="BZ83" s="87">
        <v>22676.338279628129</v>
      </c>
    </row>
    <row r="84" spans="1:79">
      <c r="A84" s="3"/>
      <c r="B84" s="3"/>
      <c r="C84" s="3"/>
      <c r="D84" s="3"/>
      <c r="E84" s="3"/>
      <c r="F84" s="3"/>
      <c r="G84" s="87"/>
      <c r="H84" s="87"/>
      <c r="I84" s="87"/>
      <c r="J84" s="446">
        <f>SUM(G83:J83)</f>
        <v>83158</v>
      </c>
      <c r="K84" s="87"/>
      <c r="L84" s="87"/>
      <c r="M84" s="87"/>
      <c r="N84" s="446">
        <f>SUM(K83:N83)</f>
        <v>110573</v>
      </c>
      <c r="O84" s="87"/>
      <c r="P84" s="87"/>
      <c r="Q84" s="87"/>
      <c r="R84" s="446">
        <f>SUM(O83:R83)</f>
        <v>117000</v>
      </c>
      <c r="S84" s="87"/>
      <c r="T84" s="87"/>
      <c r="U84" s="87"/>
      <c r="V84" s="446">
        <f>SUM(S83:V83)</f>
        <v>134864</v>
      </c>
      <c r="W84" s="87"/>
      <c r="X84" s="87"/>
      <c r="Y84" s="87"/>
      <c r="Z84" s="446">
        <f>SUM(W83:Z83)</f>
        <v>143608</v>
      </c>
      <c r="AA84" s="3"/>
      <c r="AB84" s="3"/>
      <c r="AC84" s="3"/>
      <c r="AD84" s="446">
        <f>SUM(AA83:AD83)</f>
        <v>150788.4</v>
      </c>
      <c r="AE84" s="3"/>
      <c r="AF84" s="87"/>
      <c r="AG84" s="3"/>
      <c r="AH84" s="87"/>
      <c r="AI84" s="87"/>
      <c r="AJ84" s="87"/>
      <c r="AK84" s="87"/>
      <c r="BK84"/>
      <c r="BX84" s="87"/>
      <c r="BZ84" s="446">
        <v>117548.36310136295</v>
      </c>
    </row>
    <row r="85" spans="1:79">
      <c r="A85" s="3"/>
      <c r="B85" s="3"/>
      <c r="C85" s="3"/>
      <c r="D85" s="3"/>
      <c r="E85" s="3"/>
      <c r="F85" s="3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3"/>
      <c r="AB85" s="3"/>
      <c r="AC85" s="3"/>
      <c r="AD85" s="87"/>
      <c r="AE85" s="87"/>
      <c r="AF85" s="87"/>
      <c r="AG85" s="3"/>
      <c r="AH85" s="87"/>
      <c r="AI85" s="87"/>
      <c r="AJ85" s="87"/>
      <c r="AK85" s="87"/>
      <c r="BK85"/>
      <c r="BX85" s="87"/>
      <c r="BZ85" s="87"/>
    </row>
    <row r="86" spans="1:79">
      <c r="A86" s="3"/>
      <c r="B86" s="3" t="s">
        <v>2909</v>
      </c>
      <c r="C86" s="3"/>
      <c r="D86" s="3"/>
      <c r="E86" s="3"/>
      <c r="F86" s="3"/>
      <c r="G86" s="8">
        <f t="shared" ref="G86:AD86" si="141">G60/(G6-G20)</f>
        <v>0.43843522411794517</v>
      </c>
      <c r="H86" s="8">
        <f t="shared" si="141"/>
        <v>0.41786370333202749</v>
      </c>
      <c r="I86" s="8">
        <f t="shared" si="141"/>
        <v>0.43582761320040958</v>
      </c>
      <c r="J86" s="8">
        <f t="shared" si="141"/>
        <v>0.43522010070166606</v>
      </c>
      <c r="K86" s="8">
        <f t="shared" si="141"/>
        <v>0.43368408984102919</v>
      </c>
      <c r="L86" s="8">
        <f t="shared" si="141"/>
        <v>0.43865534903042397</v>
      </c>
      <c r="M86" s="8">
        <f t="shared" si="141"/>
        <v>0.4400850505028201</v>
      </c>
      <c r="N86" s="8">
        <f t="shared" si="141"/>
        <v>0.46944628581527742</v>
      </c>
      <c r="O86" s="8">
        <f t="shared" si="141"/>
        <v>0.44974954034216036</v>
      </c>
      <c r="P86" s="8">
        <f t="shared" si="141"/>
        <v>0.48439152228695492</v>
      </c>
      <c r="Q86" s="8">
        <f t="shared" si="141"/>
        <v>0.48429330096412176</v>
      </c>
      <c r="R86" s="8">
        <f t="shared" si="141"/>
        <v>0.47677293676992477</v>
      </c>
      <c r="S86" s="8">
        <f t="shared" si="141"/>
        <v>0.45381859851140999</v>
      </c>
      <c r="T86" s="8">
        <f t="shared" si="141"/>
        <v>0.44446303980375834</v>
      </c>
      <c r="U86" s="8">
        <f t="shared" si="141"/>
        <v>0.3993029059745834</v>
      </c>
      <c r="V86" s="8">
        <f t="shared" si="141"/>
        <v>0.36309941493210929</v>
      </c>
      <c r="W86" s="8">
        <f t="shared" si="141"/>
        <v>0.37201682124447083</v>
      </c>
      <c r="X86" s="8">
        <f t="shared" si="141"/>
        <v>0.40997146566394721</v>
      </c>
      <c r="Y86" s="8">
        <f t="shared" si="141"/>
        <v>0.39117885453228723</v>
      </c>
      <c r="Z86" s="8">
        <f t="shared" si="141"/>
        <v>0.33694267847402243</v>
      </c>
      <c r="AA86" s="8">
        <f t="shared" si="141"/>
        <v>0.35934594344808601</v>
      </c>
      <c r="AB86" s="8">
        <f t="shared" si="141"/>
        <v>0.39639654403941155</v>
      </c>
      <c r="AC86" s="8">
        <f t="shared" si="141"/>
        <v>0.37792366034846087</v>
      </c>
      <c r="AD86" s="8">
        <f t="shared" si="141"/>
        <v>0.33713153245429883</v>
      </c>
      <c r="AE86" s="8">
        <f>AE60/(AE6-AE20)</f>
        <v>0.30499999999999999</v>
      </c>
      <c r="AF86" s="8">
        <f>AF60/(AF6-AF20)</f>
        <v>0.31000000000000005</v>
      </c>
      <c r="AG86" s="3"/>
      <c r="AH86" s="8"/>
      <c r="AI86" s="8"/>
      <c r="AJ86" s="8"/>
      <c r="AK86" s="8"/>
      <c r="BK86"/>
      <c r="BX86" s="8"/>
      <c r="BZ86" s="8">
        <v>0.381041772739244</v>
      </c>
    </row>
    <row r="87" spans="1:79">
      <c r="A87" s="3"/>
      <c r="B87" s="3"/>
      <c r="C87" s="3"/>
      <c r="D87" s="3"/>
      <c r="E87" s="3"/>
      <c r="F87" s="3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3"/>
      <c r="AB87" s="3"/>
      <c r="AC87" s="3"/>
      <c r="AD87" s="87"/>
      <c r="AE87" s="87"/>
      <c r="AF87" s="87"/>
      <c r="AG87" s="3"/>
      <c r="AH87" s="87"/>
      <c r="AI87" s="87"/>
      <c r="AJ87" s="87"/>
      <c r="AK87" s="87"/>
      <c r="BK87"/>
      <c r="BX87" s="87"/>
      <c r="BZ87" s="87"/>
    </row>
    <row r="88" spans="1:79">
      <c r="A88" s="3"/>
      <c r="B88" s="455" t="s">
        <v>2506</v>
      </c>
      <c r="C88" s="13" t="str">
        <f t="shared" ref="C88:AF88" si="142">C56</f>
        <v>Q1 18</v>
      </c>
      <c r="D88" s="13" t="str">
        <f t="shared" si="142"/>
        <v>Q2 18</v>
      </c>
      <c r="E88" s="13" t="str">
        <f t="shared" si="142"/>
        <v>Q3 18</v>
      </c>
      <c r="F88" s="13" t="str">
        <f t="shared" si="142"/>
        <v>Q4 18</v>
      </c>
      <c r="G88" s="13" t="str">
        <f t="shared" si="142"/>
        <v>Q1 19</v>
      </c>
      <c r="H88" s="13" t="str">
        <f t="shared" si="142"/>
        <v>Q2 19</v>
      </c>
      <c r="I88" s="13" t="str">
        <f t="shared" si="142"/>
        <v>Q3 19</v>
      </c>
      <c r="J88" s="13" t="str">
        <f t="shared" si="142"/>
        <v>Q4 19</v>
      </c>
      <c r="K88" s="13" t="str">
        <f t="shared" si="142"/>
        <v>Q1 20</v>
      </c>
      <c r="L88" s="13" t="str">
        <f t="shared" si="142"/>
        <v>Q2 20</v>
      </c>
      <c r="M88" s="13" t="str">
        <f t="shared" si="142"/>
        <v>Q3 20</v>
      </c>
      <c r="N88" s="13" t="str">
        <f t="shared" si="142"/>
        <v>Q4 20</v>
      </c>
      <c r="O88" s="13" t="str">
        <f t="shared" si="142"/>
        <v>Q1 21</v>
      </c>
      <c r="P88" s="13" t="str">
        <f t="shared" si="142"/>
        <v>Q2 21</v>
      </c>
      <c r="Q88" s="13" t="str">
        <f t="shared" si="142"/>
        <v>Q3 21</v>
      </c>
      <c r="R88" s="13" t="str">
        <f t="shared" si="142"/>
        <v>Q4 21</v>
      </c>
      <c r="S88" s="13" t="str">
        <f t="shared" si="142"/>
        <v>Q1 22</v>
      </c>
      <c r="T88" s="13" t="str">
        <f t="shared" si="142"/>
        <v>Q2 22</v>
      </c>
      <c r="U88" s="13" t="str">
        <f t="shared" ref="U88" si="143">U56</f>
        <v>Q3 22</v>
      </c>
      <c r="V88" s="13" t="str">
        <f t="shared" si="142"/>
        <v>Q4 22</v>
      </c>
      <c r="W88" s="13" t="str">
        <f t="shared" si="142"/>
        <v>Q1 23</v>
      </c>
      <c r="X88" s="13" t="str">
        <f t="shared" si="142"/>
        <v>Q2 23</v>
      </c>
      <c r="Y88" s="13" t="str">
        <f t="shared" si="142"/>
        <v>Q3 23</v>
      </c>
      <c r="Z88" s="13" t="str">
        <f t="shared" si="142"/>
        <v>Q4 23</v>
      </c>
      <c r="AA88" s="13" t="str">
        <f t="shared" si="142"/>
        <v>Q1 24e</v>
      </c>
      <c r="AB88" s="13" t="str">
        <f t="shared" si="142"/>
        <v>Q2 24e</v>
      </c>
      <c r="AC88" s="13" t="str">
        <f t="shared" si="142"/>
        <v>Q3 24e</v>
      </c>
      <c r="AD88" s="13" t="str">
        <f t="shared" si="142"/>
        <v>Q4 24e</v>
      </c>
      <c r="AE88" s="13">
        <f t="shared" si="142"/>
        <v>2024</v>
      </c>
      <c r="AF88" s="13">
        <f t="shared" si="142"/>
        <v>2025</v>
      </c>
      <c r="AG88" s="3"/>
      <c r="AH88" s="403"/>
      <c r="AI88" s="403"/>
      <c r="AJ88" s="403"/>
      <c r="AK88" s="403"/>
      <c r="AL88" s="403"/>
      <c r="BK88"/>
      <c r="BX88" s="13" t="str">
        <f>BX56</f>
        <v>Q1 23e</v>
      </c>
      <c r="BZ88" s="13" t="s">
        <v>3079</v>
      </c>
    </row>
    <row r="89" spans="1:79">
      <c r="A89" s="3"/>
      <c r="B89" s="3" t="s">
        <v>28</v>
      </c>
      <c r="C89" s="3"/>
      <c r="D89" s="3"/>
      <c r="E89" s="3"/>
      <c r="F89" s="3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3"/>
      <c r="AB89" s="3"/>
      <c r="AC89" s="3"/>
      <c r="AD89" s="87"/>
      <c r="AE89" s="87"/>
      <c r="AF89" s="87"/>
      <c r="AG89" s="3"/>
      <c r="AH89" s="87"/>
      <c r="AI89" s="87"/>
      <c r="AJ89" s="87"/>
      <c r="AK89" s="87"/>
      <c r="BK89"/>
      <c r="BX89" s="87"/>
      <c r="BZ89" s="87"/>
    </row>
    <row r="90" spans="1:79">
      <c r="A90" s="3"/>
      <c r="B90" s="2" t="s">
        <v>29</v>
      </c>
      <c r="C90" s="2"/>
      <c r="D90" s="2"/>
      <c r="E90" s="2"/>
      <c r="F90" s="2"/>
      <c r="G90" s="379"/>
      <c r="H90" s="379"/>
      <c r="I90" s="379"/>
      <c r="J90" s="379"/>
      <c r="K90" s="379"/>
      <c r="L90" s="379"/>
      <c r="M90" s="379"/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  <c r="AA90" s="379"/>
      <c r="AB90" s="379"/>
      <c r="AC90" s="379"/>
      <c r="AD90" s="87"/>
      <c r="AE90" s="87"/>
      <c r="AF90" s="87"/>
      <c r="AG90" s="3"/>
      <c r="AH90" s="87"/>
      <c r="AI90" s="87"/>
      <c r="AJ90" s="87"/>
      <c r="AK90" s="87"/>
      <c r="BK90"/>
      <c r="BX90" s="379"/>
      <c r="BZ90" s="379"/>
    </row>
    <row r="91" spans="1:79">
      <c r="A91" s="3"/>
      <c r="B91" s="3" t="str">
        <f>B79</f>
        <v>Chile (inc wholesale)</v>
      </c>
      <c r="C91" s="3"/>
      <c r="D91" s="3"/>
      <c r="E91" s="3"/>
      <c r="F91" s="3"/>
      <c r="G91" s="87">
        <f t="shared" ref="G91:Z91" si="144">G60-G79</f>
        <v>121339</v>
      </c>
      <c r="H91" s="87">
        <f t="shared" si="144"/>
        <v>115306</v>
      </c>
      <c r="I91" s="87">
        <f t="shared" si="144"/>
        <v>120363</v>
      </c>
      <c r="J91" s="87">
        <f t="shared" si="144"/>
        <v>121135.5</v>
      </c>
      <c r="K91" s="87">
        <f t="shared" si="144"/>
        <v>119464.80710659898</v>
      </c>
      <c r="L91" s="87">
        <f t="shared" si="144"/>
        <v>118336.56038647343</v>
      </c>
      <c r="M91" s="87">
        <f t="shared" si="144"/>
        <v>121366.0145631068</v>
      </c>
      <c r="N91" s="87">
        <f t="shared" si="144"/>
        <v>139156.48758913259</v>
      </c>
      <c r="O91" s="87">
        <f t="shared" si="144"/>
        <v>129752.62436548223</v>
      </c>
      <c r="P91" s="87">
        <f t="shared" si="144"/>
        <v>147323.82608695651</v>
      </c>
      <c r="Q91" s="87">
        <f t="shared" si="144"/>
        <v>152338.88349514562</v>
      </c>
      <c r="R91" s="87">
        <f t="shared" si="144"/>
        <v>150544.36961819659</v>
      </c>
      <c r="S91" s="87">
        <f t="shared" si="144"/>
        <v>141335.34517766497</v>
      </c>
      <c r="T91" s="87">
        <f t="shared" si="144"/>
        <v>137264.38647342994</v>
      </c>
      <c r="U91" s="87">
        <f t="shared" ref="U91" si="145">U60-U79</f>
        <v>121577.03883495145</v>
      </c>
      <c r="V91" s="87">
        <f t="shared" si="144"/>
        <v>106684.55853416373</v>
      </c>
      <c r="W91" s="87">
        <f t="shared" ref="W91" si="146">W60-W79</f>
        <v>111466.52284263959</v>
      </c>
      <c r="X91" s="87">
        <f t="shared" si="144"/>
        <v>130210.19323671497</v>
      </c>
      <c r="Y91" s="87">
        <f t="shared" si="144"/>
        <v>117886.3786407767</v>
      </c>
      <c r="Z91" s="87">
        <f t="shared" si="144"/>
        <v>121537.58299485513</v>
      </c>
      <c r="AA91" s="87">
        <f t="shared" ref="AA91:AC91" si="147">AA60-AA79</f>
        <v>109370.76898477157</v>
      </c>
      <c r="AB91" s="87">
        <f t="shared" si="147"/>
        <v>128013.14289855071</v>
      </c>
      <c r="AC91" s="87">
        <f t="shared" si="147"/>
        <v>115755.93757281554</v>
      </c>
      <c r="AD91" s="577">
        <f t="shared" ref="AD91:AF91" si="148">AD60-AD79</f>
        <v>106103.79994459798</v>
      </c>
      <c r="AE91" s="577">
        <f t="shared" si="148"/>
        <v>459243.6494007358</v>
      </c>
      <c r="AF91" s="577">
        <f t="shared" si="148"/>
        <v>474448.99096177256</v>
      </c>
      <c r="AG91" s="3"/>
      <c r="AH91" s="87"/>
      <c r="AI91" s="87"/>
      <c r="AJ91" s="87"/>
      <c r="AK91" s="87"/>
      <c r="BK91"/>
      <c r="BX91" s="87">
        <f>BX60-BX79</f>
        <v>112416.72145</v>
      </c>
      <c r="BZ91" s="87">
        <v>116993.2447102787</v>
      </c>
    </row>
    <row r="92" spans="1:79">
      <c r="A92" s="3"/>
      <c r="B92" s="3"/>
      <c r="C92" s="3"/>
      <c r="D92" s="3"/>
      <c r="E92" s="3"/>
      <c r="F92" s="3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3"/>
      <c r="AH92" s="87"/>
      <c r="AI92" s="87"/>
      <c r="AJ92" s="87"/>
      <c r="AK92" s="87"/>
      <c r="BK92"/>
      <c r="BX92" s="87"/>
      <c r="BZ92" s="87"/>
    </row>
    <row r="93" spans="1:79">
      <c r="A93" s="3"/>
      <c r="B93" s="3" t="s">
        <v>2499</v>
      </c>
      <c r="C93" s="3"/>
      <c r="D93" s="3"/>
      <c r="E93" s="3"/>
      <c r="F93" s="3"/>
      <c r="G93" s="87">
        <f t="shared" ref="G93:V93" si="149">G62-G81</f>
        <v>-4268</v>
      </c>
      <c r="H93" s="87">
        <f t="shared" si="149"/>
        <v>376</v>
      </c>
      <c r="I93" s="87">
        <f t="shared" si="149"/>
        <v>4452</v>
      </c>
      <c r="J93" s="87">
        <f t="shared" si="149"/>
        <v>-949.5</v>
      </c>
      <c r="K93" s="87">
        <f t="shared" si="149"/>
        <v>11853.192893401016</v>
      </c>
      <c r="L93" s="87">
        <f t="shared" si="149"/>
        <v>1432.4396135265706</v>
      </c>
      <c r="M93" s="87">
        <f t="shared" si="149"/>
        <v>7078.9854368932047</v>
      </c>
      <c r="N93" s="87">
        <f t="shared" si="149"/>
        <v>9685.5124108674063</v>
      </c>
      <c r="O93" s="87">
        <f t="shared" si="149"/>
        <v>13151.375634517768</v>
      </c>
      <c r="P93" s="87">
        <f t="shared" si="149"/>
        <v>16345.17391304348</v>
      </c>
      <c r="Q93" s="87">
        <f t="shared" si="149"/>
        <v>21213.11650485437</v>
      </c>
      <c r="R93" s="87">
        <f t="shared" si="149"/>
        <v>15995.630381803414</v>
      </c>
      <c r="S93" s="87">
        <f t="shared" si="149"/>
        <v>28693.654822335026</v>
      </c>
      <c r="T93" s="87">
        <f t="shared" si="149"/>
        <v>29192.61352657005</v>
      </c>
      <c r="U93" s="87">
        <f t="shared" ref="U93" si="150">U62-U81</f>
        <v>22808.961165048546</v>
      </c>
      <c r="V93" s="87">
        <f t="shared" si="149"/>
        <v>23362.441465836266</v>
      </c>
      <c r="W93" s="87">
        <f t="shared" ref="W93" si="151">W62-W81</f>
        <v>25664.477157360408</v>
      </c>
      <c r="X93" s="87">
        <f t="shared" ref="X93:Z93" si="152">X62-X81</f>
        <v>26157.806763285025</v>
      </c>
      <c r="Y93" s="87">
        <f t="shared" si="152"/>
        <v>35272.621359223303</v>
      </c>
      <c r="Z93" s="87">
        <f t="shared" si="152"/>
        <v>34754.417005144867</v>
      </c>
      <c r="AA93" s="87">
        <f t="shared" ref="AA93:AC93" si="153">AA62-AA81</f>
        <v>30800.201015228427</v>
      </c>
      <c r="AB93" s="87">
        <f t="shared" si="153"/>
        <v>32964.497101449277</v>
      </c>
      <c r="AC93" s="87">
        <f t="shared" si="153"/>
        <v>35955.502427184467</v>
      </c>
      <c r="AD93" s="87">
        <f t="shared" ref="AD93:AF93" si="154">AD62-AD81</f>
        <v>37802.686063422792</v>
      </c>
      <c r="AE93" s="87">
        <f t="shared" ref="AE93" si="155">AE62-AE81</f>
        <v>137522.88660728495</v>
      </c>
      <c r="AF93" s="87">
        <f t="shared" si="154"/>
        <v>149245.21463587938</v>
      </c>
      <c r="AG93" s="3"/>
      <c r="AH93" s="87"/>
      <c r="AI93" s="87"/>
      <c r="AJ93" s="87"/>
      <c r="AK93" s="87"/>
      <c r="BK93"/>
      <c r="BX93" s="87">
        <f>BX62-BX81</f>
        <v>28770</v>
      </c>
      <c r="BZ93" s="87">
        <v>42711.146116633841</v>
      </c>
    </row>
    <row r="94" spans="1:79">
      <c r="A94" s="3"/>
      <c r="B94" s="2" t="s">
        <v>20</v>
      </c>
      <c r="C94" s="2"/>
      <c r="D94" s="2"/>
      <c r="E94" s="2"/>
      <c r="F94" s="2"/>
      <c r="G94" s="379">
        <f t="shared" ref="G94:V94" si="156">G63-G82</f>
        <v>1034</v>
      </c>
      <c r="H94" s="379">
        <f t="shared" si="156"/>
        <v>1269</v>
      </c>
      <c r="I94" s="379">
        <f t="shared" si="156"/>
        <v>1982</v>
      </c>
      <c r="J94" s="379">
        <f t="shared" si="156"/>
        <v>8197</v>
      </c>
      <c r="K94" s="379">
        <f t="shared" si="156"/>
        <v>579</v>
      </c>
      <c r="L94" s="379">
        <f t="shared" si="156"/>
        <v>367</v>
      </c>
      <c r="M94" s="379">
        <f t="shared" si="156"/>
        <v>1485</v>
      </c>
      <c r="N94" s="379">
        <f t="shared" si="156"/>
        <v>865</v>
      </c>
      <c r="O94" s="379">
        <f t="shared" si="156"/>
        <v>843</v>
      </c>
      <c r="P94" s="379">
        <f t="shared" si="156"/>
        <v>1084</v>
      </c>
      <c r="Q94" s="379">
        <f t="shared" si="156"/>
        <v>1140</v>
      </c>
      <c r="R94" s="379">
        <f t="shared" si="156"/>
        <v>340</v>
      </c>
      <c r="S94" s="379">
        <f t="shared" si="156"/>
        <v>564</v>
      </c>
      <c r="T94" s="379">
        <f t="shared" si="156"/>
        <v>822</v>
      </c>
      <c r="U94" s="379">
        <f t="shared" ref="U94" si="157">U63-U82</f>
        <v>771</v>
      </c>
      <c r="V94" s="379">
        <f t="shared" si="156"/>
        <v>666</v>
      </c>
      <c r="W94" s="379">
        <f t="shared" ref="W94" si="158">W63-W82</f>
        <v>1483</v>
      </c>
      <c r="X94" s="379">
        <f t="shared" ref="X94:Z94" si="159">X63-X82</f>
        <v>963</v>
      </c>
      <c r="Y94" s="379">
        <f t="shared" si="159"/>
        <v>1092</v>
      </c>
      <c r="Z94" s="379">
        <f t="shared" si="159"/>
        <v>1294</v>
      </c>
      <c r="AA94" s="379">
        <f t="shared" ref="AA94:AC94" si="160">AA63-AA82</f>
        <v>1520.0749999999998</v>
      </c>
      <c r="AB94" s="379">
        <f t="shared" si="160"/>
        <v>987.07499999999993</v>
      </c>
      <c r="AC94" s="379">
        <f t="shared" si="160"/>
        <v>1119.3</v>
      </c>
      <c r="AD94" s="379">
        <f t="shared" ref="AD94:AF94" si="161">AD63-AD82</f>
        <v>1323.5500000000004</v>
      </c>
      <c r="AE94" s="379">
        <f t="shared" ref="AE94" si="162">AE63-AE82</f>
        <v>4950</v>
      </c>
      <c r="AF94" s="379">
        <f t="shared" si="161"/>
        <v>4950</v>
      </c>
      <c r="AG94" s="3"/>
      <c r="AH94" s="87"/>
      <c r="AI94" s="87"/>
      <c r="AJ94" s="87"/>
      <c r="AK94" s="87"/>
      <c r="BK94"/>
      <c r="BX94" s="379">
        <f>BX63-BX82</f>
        <v>700</v>
      </c>
      <c r="BZ94" s="379">
        <v>-715</v>
      </c>
    </row>
    <row r="95" spans="1:79">
      <c r="A95" s="3"/>
      <c r="B95" s="3" t="s">
        <v>68</v>
      </c>
      <c r="C95" s="3"/>
      <c r="D95" s="3"/>
      <c r="E95" s="3"/>
      <c r="F95" s="3"/>
      <c r="G95" s="87">
        <f t="shared" ref="G95:V95" si="163">G91+G93+G94</f>
        <v>118105</v>
      </c>
      <c r="H95" s="87">
        <f t="shared" si="163"/>
        <v>116951</v>
      </c>
      <c r="I95" s="87">
        <f t="shared" si="163"/>
        <v>126797</v>
      </c>
      <c r="J95" s="87">
        <f t="shared" si="163"/>
        <v>128383</v>
      </c>
      <c r="K95" s="87">
        <f t="shared" si="163"/>
        <v>131897</v>
      </c>
      <c r="L95" s="87">
        <f t="shared" si="163"/>
        <v>120136</v>
      </c>
      <c r="M95" s="87">
        <f t="shared" si="163"/>
        <v>129930</v>
      </c>
      <c r="N95" s="87">
        <f t="shared" si="163"/>
        <v>149707</v>
      </c>
      <c r="O95" s="87">
        <f t="shared" si="163"/>
        <v>143747</v>
      </c>
      <c r="P95" s="87">
        <f t="shared" si="163"/>
        <v>164753</v>
      </c>
      <c r="Q95" s="87">
        <f t="shared" si="163"/>
        <v>174692</v>
      </c>
      <c r="R95" s="87">
        <f t="shared" si="163"/>
        <v>166880</v>
      </c>
      <c r="S95" s="87">
        <f t="shared" si="163"/>
        <v>170593</v>
      </c>
      <c r="T95" s="87">
        <f t="shared" si="163"/>
        <v>167279</v>
      </c>
      <c r="U95" s="87">
        <f t="shared" ref="U95" si="164">U91+U93+U94</f>
        <v>145157</v>
      </c>
      <c r="V95" s="87">
        <f t="shared" si="163"/>
        <v>130713</v>
      </c>
      <c r="W95" s="87">
        <f t="shared" ref="W95" si="165">W91+W93+W94</f>
        <v>138614</v>
      </c>
      <c r="X95" s="87">
        <f t="shared" ref="X95:Z95" si="166">X91+X93+X94</f>
        <v>157331</v>
      </c>
      <c r="Y95" s="87">
        <f t="shared" si="166"/>
        <v>154251</v>
      </c>
      <c r="Z95" s="87">
        <f t="shared" si="166"/>
        <v>157586</v>
      </c>
      <c r="AA95" s="87">
        <f t="shared" ref="AA95:AC95" si="167">AA91+AA93+AA94</f>
        <v>141691.04500000001</v>
      </c>
      <c r="AB95" s="87">
        <f t="shared" si="167"/>
        <v>161964.715</v>
      </c>
      <c r="AC95" s="87">
        <f t="shared" si="167"/>
        <v>152830.74</v>
      </c>
      <c r="AD95" s="87">
        <f t="shared" ref="AD95:AF95" si="168">AD91+AD93+AD94</f>
        <v>145230.03600802075</v>
      </c>
      <c r="AE95" s="87">
        <f t="shared" ref="AE95" si="169">AE91+AE93+AE94</f>
        <v>601716.53600802075</v>
      </c>
      <c r="AF95" s="87">
        <f t="shared" si="168"/>
        <v>628644.20559765189</v>
      </c>
      <c r="AG95" s="3"/>
      <c r="AH95" s="87"/>
      <c r="AI95" s="87"/>
      <c r="AJ95" s="87"/>
      <c r="AK95" s="87"/>
      <c r="AR95" s="5">
        <f t="shared" ref="AR95:BK95" si="170">K95/G95-1</f>
        <v>0.11677744380000843</v>
      </c>
      <c r="AS95" s="5">
        <f t="shared" si="170"/>
        <v>2.7233627758634027E-2</v>
      </c>
      <c r="AT95" s="5">
        <f t="shared" si="170"/>
        <v>2.4708786485484691E-2</v>
      </c>
      <c r="AU95" s="5">
        <f t="shared" si="170"/>
        <v>0.16609675735884033</v>
      </c>
      <c r="AV95" s="5">
        <f t="shared" si="170"/>
        <v>8.9842831906715048E-2</v>
      </c>
      <c r="AW95" s="5">
        <f t="shared" si="170"/>
        <v>0.37138742758207366</v>
      </c>
      <c r="AX95" s="5">
        <f t="shared" si="170"/>
        <v>0.34450858154390818</v>
      </c>
      <c r="AY95" s="5">
        <f t="shared" si="170"/>
        <v>0.11471073496897266</v>
      </c>
      <c r="AZ95" s="5">
        <f t="shared" si="170"/>
        <v>0.1867586801811516</v>
      </c>
      <c r="BA95" s="5">
        <f t="shared" si="170"/>
        <v>1.5332042512124167E-2</v>
      </c>
      <c r="BB95" s="5">
        <f t="shared" si="170"/>
        <v>-0.1690689899938177</v>
      </c>
      <c r="BC95" s="5">
        <f t="shared" si="170"/>
        <v>-0.21672459252157239</v>
      </c>
      <c r="BD95" s="5">
        <f t="shared" si="170"/>
        <v>-0.18745786755611304</v>
      </c>
      <c r="BE95" s="5">
        <f t="shared" si="170"/>
        <v>-5.9469509023846401E-2</v>
      </c>
      <c r="BF95" s="5">
        <f t="shared" si="170"/>
        <v>6.2649407193590356E-2</v>
      </c>
      <c r="BG95" s="5">
        <f t="shared" si="170"/>
        <v>0.20558781452495167</v>
      </c>
      <c r="BH95" s="5">
        <f t="shared" si="170"/>
        <v>2.2198659587054692E-2</v>
      </c>
      <c r="BI95" s="5">
        <f t="shared" si="170"/>
        <v>2.9452015178191182E-2</v>
      </c>
      <c r="BJ95" s="5">
        <f t="shared" si="170"/>
        <v>-9.2074605675166454E-3</v>
      </c>
      <c r="BK95" s="5">
        <f t="shared" si="170"/>
        <v>-7.8407751906763634E-2</v>
      </c>
      <c r="BL95" s="174"/>
      <c r="BX95" s="87">
        <f>BX91+BX93+BX94</f>
        <v>141886.72145000001</v>
      </c>
      <c r="BY95" s="5">
        <f>BX95/S95-1</f>
        <v>-0.1682734845509487</v>
      </c>
      <c r="BZ95" s="87">
        <v>158989.39082691254</v>
      </c>
      <c r="CA95" s="5">
        <v>0.12707684705762889</v>
      </c>
    </row>
    <row r="96" spans="1:79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3"/>
      <c r="AH96" s="87"/>
      <c r="AI96" s="87"/>
      <c r="AJ96" s="87"/>
      <c r="AK96" s="87"/>
      <c r="BK96"/>
      <c r="BX96" s="87"/>
      <c r="BZ96" s="87"/>
    </row>
    <row r="97" spans="1:78">
      <c r="A97" s="3"/>
      <c r="B97" s="455" t="s">
        <v>2510</v>
      </c>
      <c r="C97" s="455"/>
      <c r="D97" s="455"/>
      <c r="E97" s="455"/>
      <c r="F97" s="455"/>
      <c r="G97" s="13" t="str">
        <f t="shared" ref="G97:Z97" si="171">G66</f>
        <v>Q1 19</v>
      </c>
      <c r="H97" s="13" t="str">
        <f t="shared" si="171"/>
        <v>Q2 19</v>
      </c>
      <c r="I97" s="13" t="str">
        <f t="shared" si="171"/>
        <v>Q3 19</v>
      </c>
      <c r="J97" s="13" t="str">
        <f t="shared" si="171"/>
        <v>Q4 19</v>
      </c>
      <c r="K97" s="13" t="str">
        <f t="shared" si="171"/>
        <v>Q1 20</v>
      </c>
      <c r="L97" s="13" t="str">
        <f t="shared" si="171"/>
        <v>Q2 20</v>
      </c>
      <c r="M97" s="13" t="str">
        <f t="shared" si="171"/>
        <v>Q3 20</v>
      </c>
      <c r="N97" s="13" t="str">
        <f t="shared" si="171"/>
        <v>Q4 20</v>
      </c>
      <c r="O97" s="13" t="str">
        <f t="shared" si="171"/>
        <v>Q1 21</v>
      </c>
      <c r="P97" s="13" t="str">
        <f t="shared" si="171"/>
        <v>Q2 21</v>
      </c>
      <c r="Q97" s="13" t="str">
        <f t="shared" si="171"/>
        <v>Q3 21</v>
      </c>
      <c r="R97" s="13" t="str">
        <f t="shared" si="171"/>
        <v>Q4 21</v>
      </c>
      <c r="S97" s="13" t="str">
        <f t="shared" si="171"/>
        <v>Q1 22</v>
      </c>
      <c r="T97" s="13" t="str">
        <f t="shared" si="171"/>
        <v>Q2 22</v>
      </c>
      <c r="U97" s="13" t="str">
        <f t="shared" ref="U97" si="172">U66</f>
        <v>Q3 22</v>
      </c>
      <c r="V97" s="13" t="str">
        <f t="shared" si="171"/>
        <v>Q4 22</v>
      </c>
      <c r="W97" s="13" t="str">
        <f t="shared" ref="W97" si="173">W66</f>
        <v>Q1 23</v>
      </c>
      <c r="X97" s="13" t="str">
        <f t="shared" si="171"/>
        <v>Q2 23</v>
      </c>
      <c r="Y97" s="13" t="str">
        <f t="shared" si="171"/>
        <v>Q3 23</v>
      </c>
      <c r="Z97" s="13" t="str">
        <f t="shared" si="171"/>
        <v>Q4 23</v>
      </c>
      <c r="AA97" s="13" t="str">
        <f t="shared" ref="AA97:AC97" si="174">AA66</f>
        <v>Q1 24e</v>
      </c>
      <c r="AB97" s="13" t="str">
        <f t="shared" si="174"/>
        <v>Q2 24e</v>
      </c>
      <c r="AC97" s="13" t="str">
        <f t="shared" si="174"/>
        <v>Q3 24e</v>
      </c>
      <c r="AD97" s="13" t="str">
        <f t="shared" ref="AD97:AF97" si="175">AD66</f>
        <v>Q4 24e</v>
      </c>
      <c r="AE97" s="13">
        <f t="shared" si="175"/>
        <v>2024</v>
      </c>
      <c r="AF97" s="13">
        <f t="shared" si="175"/>
        <v>2025</v>
      </c>
      <c r="AG97" s="3"/>
      <c r="AH97" s="403"/>
      <c r="AI97" s="403"/>
      <c r="AJ97" s="403"/>
      <c r="AK97" s="403"/>
      <c r="BK97"/>
      <c r="BX97" s="13" t="str">
        <f>BX66</f>
        <v>Q1 23e</v>
      </c>
      <c r="BZ97" s="13" t="s">
        <v>3079</v>
      </c>
    </row>
    <row r="98" spans="1:78">
      <c r="A98" s="3"/>
      <c r="B98" s="3" t="str">
        <f>B67</f>
        <v>Chile</v>
      </c>
      <c r="C98" s="3"/>
      <c r="D98" s="3"/>
      <c r="E98" s="3"/>
      <c r="F98" s="3"/>
      <c r="G98" s="8">
        <f t="shared" ref="G98:Z98" si="176">G91/G6</f>
        <v>0.35617439597502593</v>
      </c>
      <c r="H98" s="8">
        <f t="shared" si="176"/>
        <v>0.34087475795604039</v>
      </c>
      <c r="I98" s="8">
        <f t="shared" si="176"/>
        <v>0.35100873125579607</v>
      </c>
      <c r="J98" s="8">
        <f t="shared" si="176"/>
        <v>0.34530820629183245</v>
      </c>
      <c r="K98" s="8">
        <f t="shared" si="176"/>
        <v>0.34163940021505024</v>
      </c>
      <c r="L98" s="8">
        <f t="shared" si="176"/>
        <v>0.35780954081630789</v>
      </c>
      <c r="M98" s="8">
        <f t="shared" si="176"/>
        <v>0.33041578861381654</v>
      </c>
      <c r="N98" s="8">
        <f t="shared" si="176"/>
        <v>0.34826560449766647</v>
      </c>
      <c r="O98" s="8">
        <f t="shared" si="176"/>
        <v>0.33151408648441782</v>
      </c>
      <c r="P98" s="8">
        <f t="shared" si="176"/>
        <v>0.35970189877959557</v>
      </c>
      <c r="Q98" s="8">
        <f t="shared" si="176"/>
        <v>0.36193261051248177</v>
      </c>
      <c r="R98" s="8">
        <f t="shared" si="176"/>
        <v>0.34762855491073219</v>
      </c>
      <c r="S98" s="8">
        <f t="shared" si="176"/>
        <v>0.34085538655022674</v>
      </c>
      <c r="T98" s="8">
        <f t="shared" si="176"/>
        <v>0.32317577618433557</v>
      </c>
      <c r="U98" s="8">
        <f t="shared" si="176"/>
        <v>0.29659953412136886</v>
      </c>
      <c r="V98" s="8">
        <f t="shared" si="176"/>
        <v>0.25662908130369061</v>
      </c>
      <c r="W98" s="8">
        <f t="shared" si="176"/>
        <v>0.27033262801642272</v>
      </c>
      <c r="X98" s="8">
        <f t="shared" si="176"/>
        <v>0.3115061488622422</v>
      </c>
      <c r="Y98" s="8">
        <f t="shared" si="176"/>
        <v>0.2923218308076273</v>
      </c>
      <c r="Z98" s="8">
        <f t="shared" si="176"/>
        <v>0.24294834695260098</v>
      </c>
      <c r="AA98" s="8">
        <f t="shared" ref="AA98:AC98" si="177">AA91/AA6</f>
        <v>0.25878041974393312</v>
      </c>
      <c r="AB98" s="8">
        <f t="shared" si="177"/>
        <v>0.29878055875459275</v>
      </c>
      <c r="AC98" s="8">
        <f t="shared" si="177"/>
        <v>0.28003804347955019</v>
      </c>
      <c r="AD98" s="8">
        <f>AD91/AD6</f>
        <v>0.23090100590259091</v>
      </c>
      <c r="AE98" s="8">
        <f>AE91/AE6</f>
        <v>0.26638726895260734</v>
      </c>
      <c r="AF98" s="8">
        <f>AF91/AF6</f>
        <v>0.2701950267150971</v>
      </c>
      <c r="AG98" s="3"/>
      <c r="AH98" s="8"/>
      <c r="AI98" s="8"/>
      <c r="AJ98" s="8"/>
      <c r="AK98" s="8"/>
      <c r="BK98"/>
      <c r="BX98" s="8">
        <f>BX91/BX6</f>
        <v>0.26151451176274448</v>
      </c>
      <c r="BZ98" s="8">
        <v>0.28351882078799256</v>
      </c>
    </row>
    <row r="99" spans="1:78">
      <c r="A99" s="3"/>
      <c r="B99" s="3" t="str">
        <f>B68</f>
        <v>Peru (Wireless, Americatel, Direcnet)</v>
      </c>
      <c r="C99" s="3"/>
      <c r="D99" s="3"/>
      <c r="E99" s="3"/>
      <c r="F99" s="3"/>
      <c r="G99" s="8">
        <f t="shared" ref="G99:N99" si="178">G93/G8</f>
        <v>-3.4286081521826446E-2</v>
      </c>
      <c r="H99" s="8">
        <f t="shared" si="178"/>
        <v>2.7238876251466987E-3</v>
      </c>
      <c r="I99" s="8">
        <f t="shared" si="178"/>
        <v>3.0418978381480773E-2</v>
      </c>
      <c r="J99" s="8">
        <f t="shared" si="178"/>
        <v>-5.5730007336757155E-3</v>
      </c>
      <c r="K99" s="8">
        <f t="shared" si="178"/>
        <v>7.4344053722793429E-2</v>
      </c>
      <c r="L99" s="8">
        <f t="shared" si="178"/>
        <v>1.1707337835514741E-2</v>
      </c>
      <c r="M99" s="8">
        <f t="shared" si="178"/>
        <v>4.3699598973364145E-2</v>
      </c>
      <c r="N99" s="8">
        <f t="shared" si="178"/>
        <v>5.2858130557681932E-2</v>
      </c>
      <c r="O99" s="8">
        <f t="shared" ref="O99:Z99" si="179">O93/O10</f>
        <v>7.5717517614818167E-2</v>
      </c>
      <c r="P99" s="8">
        <f t="shared" si="179"/>
        <v>8.7759323023052241E-2</v>
      </c>
      <c r="Q99" s="8">
        <f t="shared" si="179"/>
        <v>0.10777051202449943</v>
      </c>
      <c r="R99" s="8">
        <f t="shared" si="179"/>
        <v>7.1118557596440493E-2</v>
      </c>
      <c r="S99" s="8">
        <f t="shared" si="179"/>
        <v>0.12443797464865615</v>
      </c>
      <c r="T99" s="8">
        <f t="shared" si="179"/>
        <v>0.12746752915278164</v>
      </c>
      <c r="U99" s="8">
        <f t="shared" si="179"/>
        <v>0.10391231590167081</v>
      </c>
      <c r="V99" s="8">
        <f t="shared" si="179"/>
        <v>0.10596364894971001</v>
      </c>
      <c r="W99" s="8">
        <f t="shared" si="179"/>
        <v>0.13081306657437819</v>
      </c>
      <c r="X99" s="8">
        <f t="shared" si="179"/>
        <v>0.13448536404726419</v>
      </c>
      <c r="Y99" s="8">
        <f t="shared" si="179"/>
        <v>0.17173568866503711</v>
      </c>
      <c r="Z99" s="8">
        <f t="shared" si="179"/>
        <v>0.15819465713740416</v>
      </c>
      <c r="AA99" s="8">
        <f t="shared" ref="AA99:AC99" si="180">AA93/AA10</f>
        <v>0.15483726566426828</v>
      </c>
      <c r="AB99" s="8">
        <f t="shared" si="180"/>
        <v>0.15372981837569333</v>
      </c>
      <c r="AC99" s="8">
        <f t="shared" si="180"/>
        <v>0.16249332835210215</v>
      </c>
      <c r="AD99" s="8">
        <f>AD93/AD10</f>
        <v>0.14980172253469862</v>
      </c>
      <c r="AE99" s="8">
        <f>AE93/AE10</f>
        <v>0.15504683971146005</v>
      </c>
      <c r="AF99" s="8">
        <f>AF93/AF10</f>
        <v>0.16326222699949053</v>
      </c>
      <c r="AG99" s="3"/>
      <c r="AH99" s="8"/>
      <c r="AI99" s="8"/>
      <c r="AJ99" s="8"/>
      <c r="AK99" s="8"/>
      <c r="BK99"/>
      <c r="BX99" s="8">
        <f>BX93/BX10</f>
        <v>0.14007566130610694</v>
      </c>
      <c r="BZ99" s="8">
        <v>0.20034465119547337</v>
      </c>
    </row>
    <row r="100" spans="1:78">
      <c r="A100" s="3"/>
      <c r="B100" s="2" t="str">
        <f>B69</f>
        <v>Other</v>
      </c>
      <c r="C100" s="2"/>
      <c r="D100" s="2"/>
      <c r="E100" s="2"/>
      <c r="F100" s="2"/>
      <c r="G100" s="83">
        <f t="shared" ref="G100:Z100" si="181">G94/G12</f>
        <v>0.23699289479715793</v>
      </c>
      <c r="H100" s="83">
        <f t="shared" si="181"/>
        <v>0.33705179282868525</v>
      </c>
      <c r="I100" s="83">
        <f t="shared" si="181"/>
        <v>0.50625798212005113</v>
      </c>
      <c r="J100" s="83">
        <f t="shared" si="181"/>
        <v>2.1268811624286457</v>
      </c>
      <c r="K100" s="83">
        <f t="shared" si="181"/>
        <v>8.4550233644859807E-2</v>
      </c>
      <c r="L100" s="83">
        <f t="shared" si="181"/>
        <v>0.10530846484935437</v>
      </c>
      <c r="M100" s="83">
        <f t="shared" si="181"/>
        <v>0.59662515066291688</v>
      </c>
      <c r="N100" s="83">
        <f t="shared" si="181"/>
        <v>0.28604497354497355</v>
      </c>
      <c r="O100" s="83">
        <f t="shared" si="181"/>
        <v>0.22938775510204082</v>
      </c>
      <c r="P100" s="83">
        <f t="shared" si="181"/>
        <v>0.46503646503646506</v>
      </c>
      <c r="Q100" s="83">
        <f t="shared" si="181"/>
        <v>0.2033535497681056</v>
      </c>
      <c r="R100" s="83">
        <f t="shared" si="181"/>
        <v>0.21451104100946372</v>
      </c>
      <c r="S100" s="83">
        <f t="shared" si="181"/>
        <v>0.11984700382490437</v>
      </c>
      <c r="T100" s="83">
        <f t="shared" si="181"/>
        <v>8.2109679352712017E-2</v>
      </c>
      <c r="U100" s="83">
        <f t="shared" si="181"/>
        <v>0.11188506747932085</v>
      </c>
      <c r="V100" s="83">
        <f t="shared" si="181"/>
        <v>0.10381917381137958</v>
      </c>
      <c r="W100" s="83">
        <f t="shared" si="181"/>
        <v>0.30799584631360333</v>
      </c>
      <c r="X100" s="83">
        <f t="shared" si="181"/>
        <v>0.18455346876197776</v>
      </c>
      <c r="Y100" s="83">
        <f t="shared" si="181"/>
        <v>0.12447281431665337</v>
      </c>
      <c r="Z100" s="83">
        <f t="shared" si="181"/>
        <v>0.27608278216343074</v>
      </c>
      <c r="AA100" s="83">
        <f t="shared" ref="AA100:AC100" si="182">AA94/AA12</f>
        <v>0.30950562987396407</v>
      </c>
      <c r="AB100" s="83">
        <f t="shared" si="182"/>
        <v>0.18545814262845806</v>
      </c>
      <c r="AC100" s="83">
        <f t="shared" si="182"/>
        <v>0.12508297517114675</v>
      </c>
      <c r="AD100" s="83">
        <f t="shared" ref="AD100:AF101" si="183">AD94/AD12</f>
        <v>0.28053914046139383</v>
      </c>
      <c r="AE100" s="83">
        <f t="shared" si="183"/>
        <v>0.20711297071129708</v>
      </c>
      <c r="AF100" s="83">
        <f t="shared" si="183"/>
        <v>0.20711297071129708</v>
      </c>
      <c r="AG100" s="3"/>
      <c r="AH100" s="8"/>
      <c r="AI100" s="8"/>
      <c r="AJ100" s="8"/>
      <c r="AK100" s="8"/>
      <c r="BK100"/>
      <c r="BX100" s="83">
        <f>BX94/BX12</f>
        <v>0.1</v>
      </c>
      <c r="BZ100" s="83">
        <v>-7.7574047954866013E-2</v>
      </c>
    </row>
    <row r="101" spans="1:78">
      <c r="A101" s="3"/>
      <c r="B101" s="3" t="str">
        <f>B70</f>
        <v>Group</v>
      </c>
      <c r="C101" s="3"/>
      <c r="D101" s="3"/>
      <c r="E101" s="3"/>
      <c r="F101" s="3"/>
      <c r="G101" s="8">
        <f t="shared" ref="G101:Z101" si="184">G95/G13</f>
        <v>0.24875469949556114</v>
      </c>
      <c r="H101" s="8">
        <f t="shared" si="184"/>
        <v>0.24091801441581742</v>
      </c>
      <c r="I101" s="8">
        <f t="shared" si="184"/>
        <v>0.25436319429956189</v>
      </c>
      <c r="J101" s="8">
        <f t="shared" si="184"/>
        <v>0.24167030600566231</v>
      </c>
      <c r="K101" s="8">
        <f t="shared" si="184"/>
        <v>0.25324142962742519</v>
      </c>
      <c r="L101" s="8">
        <f t="shared" si="184"/>
        <v>0.26043260913864041</v>
      </c>
      <c r="M101" s="8">
        <f t="shared" si="184"/>
        <v>0.24238862771434969</v>
      </c>
      <c r="N101" s="8">
        <f t="shared" si="184"/>
        <v>0.25378799437183203</v>
      </c>
      <c r="O101" s="8">
        <f t="shared" si="184"/>
        <v>0.25273797865176639</v>
      </c>
      <c r="P101" s="8">
        <f t="shared" si="184"/>
        <v>0.27543621782386779</v>
      </c>
      <c r="Q101" s="8">
        <f t="shared" si="184"/>
        <v>0.28024885055811699</v>
      </c>
      <c r="R101" s="8">
        <f t="shared" si="184"/>
        <v>0.25301677934262334</v>
      </c>
      <c r="S101" s="8">
        <f t="shared" si="184"/>
        <v>0.26247459384774924</v>
      </c>
      <c r="T101" s="8">
        <f t="shared" si="184"/>
        <v>0.25201463766653059</v>
      </c>
      <c r="U101" s="8">
        <f t="shared" si="184"/>
        <v>0.22812810390132895</v>
      </c>
      <c r="V101" s="8">
        <f t="shared" si="184"/>
        <v>0.20341079915220212</v>
      </c>
      <c r="W101" s="8">
        <f t="shared" si="184"/>
        <v>0.22599936739611765</v>
      </c>
      <c r="X101" s="8">
        <f t="shared" si="184"/>
        <v>0.25469506558765015</v>
      </c>
      <c r="Y101" s="8">
        <f t="shared" si="184"/>
        <v>0.24982427385421693</v>
      </c>
      <c r="Z101" s="8">
        <f t="shared" si="184"/>
        <v>0.21746738389439199</v>
      </c>
      <c r="AA101" s="8">
        <f t="shared" ref="AA101:AC101" si="185">AA95/AA13</f>
        <v>0.22617356882442946</v>
      </c>
      <c r="AB101" s="8">
        <f t="shared" si="185"/>
        <v>0.24986619604246363</v>
      </c>
      <c r="AC101" s="8">
        <f t="shared" si="185"/>
        <v>0.23746965752474547</v>
      </c>
      <c r="AD101" s="8">
        <f t="shared" si="183"/>
        <v>0.20266821640534774</v>
      </c>
      <c r="AE101" s="8">
        <f t="shared" si="183"/>
        <v>0.22836873784357922</v>
      </c>
      <c r="AF101" s="8">
        <f t="shared" si="183"/>
        <v>0.23335023551928843</v>
      </c>
      <c r="AG101" s="3"/>
      <c r="AH101" s="8"/>
      <c r="AI101" s="8"/>
      <c r="AJ101" s="8"/>
      <c r="AK101" s="8"/>
      <c r="BK101"/>
      <c r="BX101" s="8">
        <f>BX95/BX13</f>
        <v>0.22091891617437479</v>
      </c>
      <c r="BZ101" s="8">
        <v>0.25035627793239879</v>
      </c>
    </row>
    <row r="102" spans="1:78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BK102"/>
    </row>
    <row r="103" spans="1:78">
      <c r="A103" s="3"/>
      <c r="B103" s="455" t="s">
        <v>2520</v>
      </c>
      <c r="C103" s="13" t="str">
        <f t="shared" ref="C103:P103" si="186">C76</f>
        <v>Q1 18</v>
      </c>
      <c r="D103" s="13" t="str">
        <f t="shared" si="186"/>
        <v>Q2 18</v>
      </c>
      <c r="E103" s="13" t="str">
        <f t="shared" si="186"/>
        <v>Q3 18</v>
      </c>
      <c r="F103" s="13" t="str">
        <f t="shared" si="186"/>
        <v>Q4 18</v>
      </c>
      <c r="G103" s="13" t="str">
        <f t="shared" si="186"/>
        <v>Q1 19</v>
      </c>
      <c r="H103" s="13" t="str">
        <f t="shared" si="186"/>
        <v>Q2 19</v>
      </c>
      <c r="I103" s="13" t="str">
        <f t="shared" si="186"/>
        <v>Q3 19</v>
      </c>
      <c r="J103" s="13" t="str">
        <f t="shared" si="186"/>
        <v>Q4 19</v>
      </c>
      <c r="K103" s="13" t="str">
        <f t="shared" si="186"/>
        <v>Q1 20</v>
      </c>
      <c r="L103" s="13" t="str">
        <f t="shared" si="186"/>
        <v>Q2 20</v>
      </c>
      <c r="M103" s="13" t="str">
        <f t="shared" si="186"/>
        <v>Q3 20</v>
      </c>
      <c r="N103" s="13" t="str">
        <f t="shared" si="186"/>
        <v>Q4 20</v>
      </c>
      <c r="O103" s="13" t="str">
        <f t="shared" si="186"/>
        <v>Q1 21</v>
      </c>
      <c r="P103" s="13" t="str">
        <f t="shared" si="186"/>
        <v>Q2 21</v>
      </c>
      <c r="Q103" s="13" t="s">
        <v>2928</v>
      </c>
      <c r="R103" s="13" t="s">
        <v>2929</v>
      </c>
      <c r="S103" s="13" t="str">
        <f t="shared" ref="S103:AF103" si="187">S2</f>
        <v>Q1 22</v>
      </c>
      <c r="T103" s="13" t="str">
        <f t="shared" si="187"/>
        <v>Q2 22</v>
      </c>
      <c r="U103" s="13" t="str">
        <f t="shared" si="187"/>
        <v>Q3 22</v>
      </c>
      <c r="V103" s="13" t="str">
        <f t="shared" si="187"/>
        <v>Q4 22</v>
      </c>
      <c r="W103" s="13" t="str">
        <f t="shared" si="187"/>
        <v>Q1 23</v>
      </c>
      <c r="X103" s="13" t="str">
        <f t="shared" si="187"/>
        <v>Q2 23</v>
      </c>
      <c r="Y103" s="13" t="str">
        <f t="shared" si="187"/>
        <v>Q3 23</v>
      </c>
      <c r="Z103" s="13" t="str">
        <f t="shared" si="187"/>
        <v>Q4 23</v>
      </c>
      <c r="AA103" s="13" t="str">
        <f t="shared" si="187"/>
        <v>Q1 24e</v>
      </c>
      <c r="AB103" s="13" t="str">
        <f t="shared" si="187"/>
        <v>Q2 24e</v>
      </c>
      <c r="AC103" s="13" t="str">
        <f t="shared" si="187"/>
        <v>Q3 24e</v>
      </c>
      <c r="AD103" s="13" t="str">
        <f t="shared" si="187"/>
        <v>Q4 24e</v>
      </c>
      <c r="AE103" s="13">
        <f t="shared" si="187"/>
        <v>2024</v>
      </c>
      <c r="AF103" s="13">
        <f t="shared" si="187"/>
        <v>2025</v>
      </c>
      <c r="AG103" s="3"/>
      <c r="AH103" s="403"/>
      <c r="AI103" s="403"/>
      <c r="AJ103" s="403"/>
      <c r="AK103" s="403"/>
      <c r="AL103" s="403"/>
      <c r="BK103"/>
      <c r="BX103" s="13" t="str">
        <f>BX2</f>
        <v>Q1 23e</v>
      </c>
      <c r="BZ103" s="13" t="s">
        <v>3079</v>
      </c>
    </row>
    <row r="104" spans="1:78">
      <c r="A104" s="3"/>
      <c r="B104" s="3" t="s">
        <v>2523</v>
      </c>
      <c r="C104" s="3"/>
      <c r="D104" s="3"/>
      <c r="E104" s="3"/>
      <c r="F104" s="3"/>
      <c r="G104" s="7">
        <f>G110/Interims!AY288</f>
        <v>128.80688622754491</v>
      </c>
      <c r="H104" s="7">
        <f>H110/Interims!AZ288</f>
        <v>111.01171303074671</v>
      </c>
      <c r="I104" s="7">
        <f>I110/Interims!BA288</f>
        <v>93.300146412884331</v>
      </c>
      <c r="J104" s="7">
        <f>J110/Interims!BB288</f>
        <v>73.150993377483445</v>
      </c>
      <c r="K104" s="7">
        <f>K110/Interims!BC288</f>
        <v>112.10346328421315</v>
      </c>
      <c r="L104" s="7">
        <f>L110/Interims!BD288</f>
        <v>84.373221326259568</v>
      </c>
      <c r="M104" s="7">
        <f>M110/Interims!BE288</f>
        <v>77.282025444597281</v>
      </c>
      <c r="N104" s="7">
        <f>N110/Interims!BF288</f>
        <v>70.597368421052636</v>
      </c>
      <c r="O104" s="7">
        <f>O110/Interims!BG288</f>
        <v>109.95856353591161</v>
      </c>
      <c r="P104" s="7">
        <f>P110/Interims!BH288</f>
        <v>105.26675977653632</v>
      </c>
      <c r="Q104" s="7">
        <f>Q110/Interims!BI288</f>
        <v>116.15245478036175</v>
      </c>
      <c r="R104" s="7">
        <f>R110/Interims!BJ288</f>
        <v>130.66747279322854</v>
      </c>
      <c r="S104" s="7">
        <f>S110/Interims!BK288</f>
        <v>109.04902848434895</v>
      </c>
      <c r="T104" s="580">
        <f>T110/Interims!BL288</f>
        <v>122.39910652441529</v>
      </c>
      <c r="U104" s="580">
        <f>U110/Interims!BM288</f>
        <v>105.0021528525296</v>
      </c>
      <c r="V104" s="580">
        <f>V110/Interims!BN288</f>
        <v>113.77217962760132</v>
      </c>
      <c r="W104" s="580">
        <f>W110/Interims!BO288</f>
        <v>98.605484886569798</v>
      </c>
      <c r="X104" s="580">
        <f>X110/Interims!BP288</f>
        <v>121.91732026802703</v>
      </c>
      <c r="Y104" s="580">
        <f>Y110/Interims!BQ288</f>
        <v>97.821218695277125</v>
      </c>
      <c r="Z104" s="580">
        <f>Z110/Interims!BR288</f>
        <v>90.496651785714292</v>
      </c>
      <c r="AA104" s="660">
        <f>AA110/Master!$J$175</f>
        <v>87.176179726969792</v>
      </c>
      <c r="AB104" s="660">
        <f>AB110/Master!$J$175</f>
        <v>106.41728474685586</v>
      </c>
      <c r="AC104" s="660">
        <f>AC110/Master!$J$175</f>
        <v>91.368375792755032</v>
      </c>
      <c r="AD104" s="651">
        <f>Master!J47-AA104-AB104-AC104</f>
        <v>135.03815973341932</v>
      </c>
      <c r="AE104" s="651">
        <f>Master!J47</f>
        <v>420</v>
      </c>
      <c r="AF104" s="651">
        <f>Master!K47</f>
        <v>410</v>
      </c>
      <c r="AG104" s="3"/>
      <c r="AH104" s="403"/>
      <c r="AI104" s="7"/>
      <c r="AJ104" s="7"/>
      <c r="AK104" s="7"/>
      <c r="BK104"/>
      <c r="BX104" s="7"/>
      <c r="BZ104" s="7">
        <v>156.65597615012604</v>
      </c>
    </row>
    <row r="105" spans="1:78">
      <c r="A105" s="3"/>
      <c r="B105" s="2" t="s">
        <v>1083</v>
      </c>
      <c r="C105" s="2"/>
      <c r="D105" s="2"/>
      <c r="E105" s="2"/>
      <c r="F105" s="2"/>
      <c r="G105" s="9">
        <v>40.698999999999998</v>
      </c>
      <c r="H105" s="9">
        <v>39.957999999999998</v>
      </c>
      <c r="I105" s="9">
        <v>48.219000000000001</v>
      </c>
      <c r="J105" s="9">
        <v>49.232999999999997</v>
      </c>
      <c r="K105" s="9">
        <f>K111/Interims!BC288</f>
        <v>22.909904868494685</v>
      </c>
      <c r="L105" s="9">
        <f>L111/Interims!BD288</f>
        <v>31.481601674719233</v>
      </c>
      <c r="M105" s="9">
        <f>M111/Interims!BE288</f>
        <v>33.108058801427184</v>
      </c>
      <c r="N105" s="9">
        <f>N111/Interims!BF288</f>
        <v>34.646052631578947</v>
      </c>
      <c r="O105" s="9">
        <f>O111/Interims!BG288</f>
        <v>29.774861878453038</v>
      </c>
      <c r="P105" s="9">
        <f>P111/Interims!BH288</f>
        <v>47.470670391061454</v>
      </c>
      <c r="Q105" s="9">
        <f>Q111/Interims!BI288</f>
        <v>19.859173126614987</v>
      </c>
      <c r="R105" s="9">
        <f>R111/Interims!BJ288</f>
        <v>26.124546553808948</v>
      </c>
      <c r="S105" s="9">
        <f>S111/Interims!BK288</f>
        <v>22.985302996996097</v>
      </c>
      <c r="T105" s="581">
        <f>T111/Interims!BL288</f>
        <v>32.001182412649989</v>
      </c>
      <c r="U105" s="581">
        <f>U111/Interims!BM288</f>
        <v>34.335844994617865</v>
      </c>
      <c r="V105" s="581">
        <f>V111/Interims!BN288</f>
        <v>49.092004381161004</v>
      </c>
      <c r="W105" s="581">
        <f>W111/Interims!BO288</f>
        <v>39.383234431754111</v>
      </c>
      <c r="X105" s="581">
        <f>X111/Interims!BP288</f>
        <v>38.076227728827703</v>
      </c>
      <c r="Y105" s="581">
        <f>Y111/Interims!BQ288</f>
        <v>29.82008348887728</v>
      </c>
      <c r="Z105" s="581">
        <f>Z111/Interims!BR288</f>
        <v>51.553571428571431</v>
      </c>
      <c r="AA105" s="522">
        <f>AA111/Master!$J$175</f>
        <v>37.622272385252074</v>
      </c>
      <c r="AB105" s="522">
        <f>AB111/Master!$J$175</f>
        <v>37.622272385252074</v>
      </c>
      <c r="AC105" s="522">
        <f>AC111/Master!$J$175</f>
        <v>37.622272385252074</v>
      </c>
      <c r="AD105" s="652">
        <f>Master!J48-AA105-AB105-AC105</f>
        <v>42.133182844243777</v>
      </c>
      <c r="AE105" s="652">
        <f>Master!J48</f>
        <v>155</v>
      </c>
      <c r="AF105" s="652">
        <f>Master!K48</f>
        <v>140</v>
      </c>
      <c r="AG105" s="3"/>
      <c r="AH105" s="403"/>
      <c r="AI105" s="7"/>
      <c r="AJ105" s="7"/>
      <c r="AK105" s="7"/>
      <c r="BK105"/>
      <c r="BX105" s="9"/>
      <c r="BZ105" s="9">
        <v>42.720454350540898</v>
      </c>
    </row>
    <row r="106" spans="1:78">
      <c r="A106" s="3"/>
      <c r="B106" s="3" t="s">
        <v>626</v>
      </c>
      <c r="C106" s="3"/>
      <c r="D106" s="3"/>
      <c r="E106" s="3"/>
      <c r="F106" s="3"/>
      <c r="G106" s="7">
        <f t="shared" ref="G106:S106" si="188">G104+G105</f>
        <v>169.50588622754492</v>
      </c>
      <c r="H106" s="7">
        <f t="shared" si="188"/>
        <v>150.9697130307467</v>
      </c>
      <c r="I106" s="7">
        <f t="shared" si="188"/>
        <v>141.51914641288434</v>
      </c>
      <c r="J106" s="7">
        <f t="shared" si="188"/>
        <v>122.38399337748345</v>
      </c>
      <c r="K106" s="7">
        <f t="shared" si="188"/>
        <v>135.01336815270784</v>
      </c>
      <c r="L106" s="7">
        <f t="shared" si="188"/>
        <v>115.8548230009788</v>
      </c>
      <c r="M106" s="7">
        <f t="shared" si="188"/>
        <v>110.39008424602446</v>
      </c>
      <c r="N106" s="7">
        <f t="shared" si="188"/>
        <v>105.24342105263159</v>
      </c>
      <c r="O106" s="7">
        <f t="shared" si="188"/>
        <v>139.73342541436466</v>
      </c>
      <c r="P106" s="7">
        <f t="shared" si="188"/>
        <v>152.73743016759778</v>
      </c>
      <c r="Q106" s="7">
        <f t="shared" si="188"/>
        <v>136.01162790697674</v>
      </c>
      <c r="R106" s="7">
        <f t="shared" si="188"/>
        <v>156.7920193470375</v>
      </c>
      <c r="S106" s="7">
        <f t="shared" si="188"/>
        <v>132.03433148134505</v>
      </c>
      <c r="T106" s="7">
        <f t="shared" ref="T106:U106" si="189">T104+T105</f>
        <v>154.40028893706528</v>
      </c>
      <c r="U106" s="7">
        <f t="shared" si="189"/>
        <v>139.33799784714748</v>
      </c>
      <c r="V106" s="7">
        <f t="shared" ref="V106" si="190">V104+V105</f>
        <v>162.86418400876232</v>
      </c>
      <c r="W106" s="7">
        <f t="shared" ref="W106:X106" si="191">W104+W105</f>
        <v>137.98871931832392</v>
      </c>
      <c r="X106" s="7">
        <f t="shared" si="191"/>
        <v>159.99354799685472</v>
      </c>
      <c r="Y106" s="7">
        <f t="shared" ref="Y106:AC106" si="192">Y104+Y105</f>
        <v>127.6413021841544</v>
      </c>
      <c r="Z106" s="7">
        <f t="shared" si="192"/>
        <v>142.05022321428572</v>
      </c>
      <c r="AA106" s="7">
        <f t="shared" si="192"/>
        <v>124.79845211222187</v>
      </c>
      <c r="AB106" s="653">
        <f t="shared" si="192"/>
        <v>144.03955713210792</v>
      </c>
      <c r="AC106" s="653">
        <f t="shared" si="192"/>
        <v>128.99064817800712</v>
      </c>
      <c r="AD106" s="7">
        <f t="shared" ref="AD106:AF106" si="193">AD104+AD105</f>
        <v>177.1713425776631</v>
      </c>
      <c r="AE106" s="7">
        <f t="shared" ref="AE106" si="194">AE104+AE105</f>
        <v>575</v>
      </c>
      <c r="AF106" s="7">
        <f t="shared" si="193"/>
        <v>550</v>
      </c>
      <c r="AG106" s="3"/>
      <c r="AH106" s="7"/>
      <c r="AI106" s="7"/>
      <c r="AJ106" s="7"/>
      <c r="AK106" s="7"/>
      <c r="BK106"/>
      <c r="BX106" s="7">
        <f>BX104+BX105</f>
        <v>0</v>
      </c>
      <c r="BZ106" s="7">
        <v>199.37643050066694</v>
      </c>
    </row>
    <row r="107" spans="1:78">
      <c r="A107" s="3"/>
      <c r="B107" s="3" t="s">
        <v>2522</v>
      </c>
      <c r="C107" s="3"/>
      <c r="D107" s="3"/>
      <c r="E107" s="3"/>
      <c r="F107" s="3"/>
      <c r="G107" s="11">
        <f t="shared" ref="G107:S107" si="195">G108-G106</f>
        <v>7.046107784429978E-2</v>
      </c>
      <c r="H107" s="11">
        <f t="shared" si="195"/>
        <v>0.95268814055637563</v>
      </c>
      <c r="I107" s="11">
        <f t="shared" si="195"/>
        <v>2.0679692532942795</v>
      </c>
      <c r="J107" s="11">
        <f t="shared" si="195"/>
        <v>1.4438211920529795</v>
      </c>
      <c r="K107" s="11">
        <f t="shared" si="195"/>
        <v>0</v>
      </c>
      <c r="L107" s="11">
        <f t="shared" si="195"/>
        <v>0</v>
      </c>
      <c r="M107" s="11">
        <f t="shared" si="195"/>
        <v>0</v>
      </c>
      <c r="N107" s="11">
        <f t="shared" si="195"/>
        <v>0</v>
      </c>
      <c r="O107" s="11">
        <f t="shared" si="195"/>
        <v>0</v>
      </c>
      <c r="P107" s="11">
        <f t="shared" si="195"/>
        <v>0</v>
      </c>
      <c r="Q107" s="11">
        <f t="shared" si="195"/>
        <v>0</v>
      </c>
      <c r="R107" s="11">
        <f t="shared" si="195"/>
        <v>0</v>
      </c>
      <c r="S107" s="11">
        <f t="shared" si="195"/>
        <v>0</v>
      </c>
      <c r="T107" s="11">
        <f t="shared" ref="T107:U107" si="196">T108-T106</f>
        <v>0</v>
      </c>
      <c r="U107" s="11">
        <f t="shared" si="196"/>
        <v>0</v>
      </c>
      <c r="V107" s="11">
        <f t="shared" ref="V107:W107" si="197">V108-V106</f>
        <v>0</v>
      </c>
      <c r="W107" s="11">
        <f t="shared" si="197"/>
        <v>0</v>
      </c>
      <c r="X107" s="11">
        <f t="shared" ref="X107:Y107" si="198">X108-X106</f>
        <v>0</v>
      </c>
      <c r="Y107" s="11">
        <f t="shared" si="198"/>
        <v>0</v>
      </c>
      <c r="Z107" s="11">
        <f t="shared" ref="Z107" si="199">Z108-Z106</f>
        <v>0</v>
      </c>
      <c r="AA107" s="7">
        <f>AA108-AA106</f>
        <v>0</v>
      </c>
      <c r="AB107" s="7">
        <f t="shared" ref="AB107:AD107" si="200">AB108-AB106</f>
        <v>0</v>
      </c>
      <c r="AC107" s="7">
        <f t="shared" si="200"/>
        <v>0</v>
      </c>
      <c r="AD107" s="7">
        <f t="shared" si="200"/>
        <v>0</v>
      </c>
      <c r="AE107" s="11">
        <v>0</v>
      </c>
      <c r="AF107" s="11">
        <v>0</v>
      </c>
      <c r="AG107" s="3"/>
      <c r="AH107" s="11"/>
      <c r="AI107" s="11"/>
      <c r="AJ107" s="11"/>
      <c r="AK107" s="11"/>
      <c r="BK107"/>
      <c r="BX107" s="11"/>
      <c r="BZ107" s="11">
        <v>0</v>
      </c>
    </row>
    <row r="108" spans="1:78">
      <c r="A108" s="3"/>
      <c r="B108" s="3" t="s">
        <v>2524</v>
      </c>
      <c r="C108" s="3"/>
      <c r="D108" s="3"/>
      <c r="E108" s="3"/>
      <c r="F108" s="3"/>
      <c r="G108" s="7">
        <f>G113/Interims!AY288</f>
        <v>169.57634730538922</v>
      </c>
      <c r="H108" s="7">
        <f>H113/Interims!AZ288</f>
        <v>151.92240117130308</v>
      </c>
      <c r="I108" s="7">
        <f>I113/Interims!BA288</f>
        <v>143.58711566617862</v>
      </c>
      <c r="J108" s="7">
        <f>J113/Interims!BB288</f>
        <v>123.82781456953643</v>
      </c>
      <c r="K108" s="7">
        <f>K113/Interims!BC288</f>
        <v>135.01336815270784</v>
      </c>
      <c r="L108" s="7">
        <f>L113/Interims!BD288</f>
        <v>115.8548230009788</v>
      </c>
      <c r="M108" s="7">
        <f>M113/Interims!BE288</f>
        <v>110.39008424602447</v>
      </c>
      <c r="N108" s="7">
        <f>N113/Interims!BF288</f>
        <v>105.24342105263158</v>
      </c>
      <c r="O108" s="7">
        <f>O113/Interims!BG288</f>
        <v>139.73342541436463</v>
      </c>
      <c r="P108" s="7">
        <f>P113/Interims!BH288</f>
        <v>152.73743016759778</v>
      </c>
      <c r="Q108" s="7">
        <f>Q113/Interims!BI288</f>
        <v>136.01162790697674</v>
      </c>
      <c r="R108" s="7">
        <f>R113/Interims!BJ288</f>
        <v>156.7920193470375</v>
      </c>
      <c r="S108" s="7">
        <f>S113/Interims!BK288</f>
        <v>132.03433148134505</v>
      </c>
      <c r="T108" s="580">
        <f>T113/Interims!BL288</f>
        <v>154.40028893706528</v>
      </c>
      <c r="U108" s="580">
        <f>U113/Interims!BM288</f>
        <v>139.33799784714748</v>
      </c>
      <c r="V108" s="580">
        <f>V113/Interims!BN288</f>
        <v>162.86418400876232</v>
      </c>
      <c r="W108" s="580">
        <f>W113/Interims!BO288</f>
        <v>137.98871931832392</v>
      </c>
      <c r="X108" s="580">
        <f>X113/Interims!BP288</f>
        <v>159.99354799685472</v>
      </c>
      <c r="Y108" s="580">
        <f>Y113/Interims!BQ288</f>
        <v>127.64130218415441</v>
      </c>
      <c r="Z108" s="580">
        <f>Z113/Interims!BR288</f>
        <v>142.05022321428572</v>
      </c>
      <c r="AA108" s="580">
        <f>AA113/Interims!BS288</f>
        <v>124.79845211222187</v>
      </c>
      <c r="AB108" s="580">
        <f>AB113/Interims!BT288</f>
        <v>144.03955713210792</v>
      </c>
      <c r="AC108" s="580">
        <f>AC113/Interims!BU288</f>
        <v>128.99064817800709</v>
      </c>
      <c r="AD108" s="580">
        <f>AD113/Interims!BV288</f>
        <v>177.17134257766313</v>
      </c>
      <c r="AE108" s="7">
        <f>AE106-AE107</f>
        <v>575</v>
      </c>
      <c r="AF108" s="7">
        <f>AF106-AF107</f>
        <v>550</v>
      </c>
      <c r="AG108" s="3"/>
      <c r="AH108" s="403"/>
      <c r="AI108" s="7"/>
      <c r="AJ108" s="7"/>
      <c r="AK108" s="7"/>
      <c r="BK108"/>
      <c r="BX108" s="7"/>
      <c r="BZ108" s="7">
        <v>199.37643050066694</v>
      </c>
    </row>
    <row r="109" spans="1:78">
      <c r="A109" s="3"/>
      <c r="B109" s="3"/>
      <c r="C109" s="3"/>
      <c r="D109" s="3"/>
      <c r="E109" s="3"/>
      <c r="F109" s="3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3"/>
      <c r="AB109" s="3"/>
      <c r="AC109" s="3"/>
      <c r="AD109" s="7"/>
      <c r="AE109" s="7"/>
      <c r="AF109" s="7"/>
      <c r="AG109" s="3"/>
      <c r="AH109" s="7"/>
      <c r="AI109" s="7"/>
      <c r="AJ109" s="7"/>
      <c r="AK109" s="7"/>
      <c r="BK109"/>
      <c r="BX109" s="7"/>
      <c r="BZ109" s="7"/>
    </row>
    <row r="110" spans="1:78">
      <c r="A110" s="3"/>
      <c r="B110" s="3" t="s">
        <v>2494</v>
      </c>
      <c r="C110" s="3"/>
      <c r="D110" s="3"/>
      <c r="E110" s="3"/>
      <c r="F110" s="3"/>
      <c r="G110" s="87">
        <v>86043</v>
      </c>
      <c r="H110" s="87">
        <v>75821</v>
      </c>
      <c r="I110" s="87">
        <v>63724</v>
      </c>
      <c r="J110" s="87">
        <v>55229</v>
      </c>
      <c r="K110" s="87">
        <f>159546-L110</f>
        <v>90148</v>
      </c>
      <c r="L110" s="87">
        <v>69398</v>
      </c>
      <c r="M110" s="87">
        <v>60333</v>
      </c>
      <c r="N110" s="87">
        <v>53654</v>
      </c>
      <c r="O110" s="87">
        <v>79610</v>
      </c>
      <c r="P110" s="87">
        <v>75371</v>
      </c>
      <c r="Q110" s="87">
        <f>89902</f>
        <v>89902</v>
      </c>
      <c r="R110" s="87">
        <f>352945-O110-P110-Q110</f>
        <v>108062</v>
      </c>
      <c r="S110" s="266">
        <v>88130</v>
      </c>
      <c r="T110" s="266">
        <v>103389</v>
      </c>
      <c r="U110" s="266">
        <v>97547</v>
      </c>
      <c r="V110" s="266">
        <v>103874</v>
      </c>
      <c r="W110" s="266">
        <v>79942</v>
      </c>
      <c r="X110" s="266">
        <v>97678</v>
      </c>
      <c r="Y110" s="266">
        <v>83466</v>
      </c>
      <c r="Z110" s="266">
        <v>81085</v>
      </c>
      <c r="AA110" s="457">
        <v>81100</v>
      </c>
      <c r="AB110" s="457">
        <v>99000</v>
      </c>
      <c r="AC110" s="457">
        <v>85000</v>
      </c>
      <c r="AD110" s="645">
        <f>Master!J141-'New Ints'!AA110-'New Ints'!AB110-'New Ints'!AC110</f>
        <v>125626</v>
      </c>
      <c r="AE110" s="645">
        <f>Master!J141</f>
        <v>390726</v>
      </c>
      <c r="AF110" s="645">
        <f>Master!K141</f>
        <v>389051.45999999996</v>
      </c>
      <c r="AG110" s="3"/>
      <c r="AH110" s="87"/>
      <c r="AI110" s="87"/>
      <c r="AJ110" s="87"/>
      <c r="AK110" s="87"/>
      <c r="BK110"/>
      <c r="BX110" s="457">
        <v>100100</v>
      </c>
      <c r="BZ110" s="584">
        <v>153589</v>
      </c>
    </row>
    <row r="111" spans="1:78">
      <c r="A111" s="3"/>
      <c r="B111" s="3" t="s">
        <v>2495</v>
      </c>
      <c r="C111" s="3"/>
      <c r="D111" s="3"/>
      <c r="E111" s="3"/>
      <c r="F111" s="3"/>
      <c r="G111" s="87">
        <f>G105*Interims!AY288</f>
        <v>27186.931999999997</v>
      </c>
      <c r="H111" s="87">
        <f>H105*Interims!AZ288</f>
        <v>27291.313999999998</v>
      </c>
      <c r="I111" s="87">
        <f>I105*Interims!BA288</f>
        <v>32933.576999999997</v>
      </c>
      <c r="J111" s="87">
        <f>J105*Interims!BB288</f>
        <v>37170.915000000001</v>
      </c>
      <c r="K111" s="87">
        <f t="shared" ref="K111:W111" si="201">K113-K110</f>
        <v>18423</v>
      </c>
      <c r="L111" s="87">
        <f t="shared" si="201"/>
        <v>25894</v>
      </c>
      <c r="M111" s="87">
        <f t="shared" si="201"/>
        <v>25847</v>
      </c>
      <c r="N111" s="87">
        <f t="shared" si="201"/>
        <v>26331</v>
      </c>
      <c r="O111" s="87">
        <f t="shared" si="201"/>
        <v>21557</v>
      </c>
      <c r="P111" s="87">
        <f t="shared" si="201"/>
        <v>33989</v>
      </c>
      <c r="Q111" s="87">
        <f t="shared" si="201"/>
        <v>15371</v>
      </c>
      <c r="R111" s="87">
        <f t="shared" si="201"/>
        <v>21605</v>
      </c>
      <c r="S111" s="87">
        <f t="shared" si="201"/>
        <v>18576</v>
      </c>
      <c r="T111" s="87">
        <f t="shared" si="201"/>
        <v>27031</v>
      </c>
      <c r="U111" s="87">
        <f t="shared" si="201"/>
        <v>31898</v>
      </c>
      <c r="V111" s="87">
        <f t="shared" si="201"/>
        <v>44821</v>
      </c>
      <c r="W111" s="87">
        <f t="shared" si="201"/>
        <v>31929</v>
      </c>
      <c r="X111" s="87">
        <f t="shared" ref="X111:Z111" si="202">X113-X110</f>
        <v>30506</v>
      </c>
      <c r="Y111" s="87">
        <f t="shared" si="202"/>
        <v>25444</v>
      </c>
      <c r="Z111" s="87">
        <f t="shared" si="202"/>
        <v>46192</v>
      </c>
      <c r="AA111" s="457">
        <v>35000</v>
      </c>
      <c r="AB111" s="457">
        <v>35000</v>
      </c>
      <c r="AC111" s="457">
        <v>35000</v>
      </c>
      <c r="AD111" s="645">
        <f>Master!J38-'New Ints'!AA111-'New Ints'!AB111-'New Ints'!AC111</f>
        <v>39196.5</v>
      </c>
      <c r="AE111" s="645">
        <f>Master!J38</f>
        <v>144196.5</v>
      </c>
      <c r="AF111" s="645">
        <f>Master!K38</f>
        <v>132846.84</v>
      </c>
      <c r="AG111" s="3"/>
      <c r="AH111" s="87"/>
      <c r="AI111" s="87"/>
      <c r="AJ111" s="87"/>
      <c r="AK111" s="87"/>
      <c r="BK111"/>
      <c r="BX111" s="457">
        <v>27860</v>
      </c>
      <c r="BZ111" s="584">
        <v>43071</v>
      </c>
    </row>
    <row r="112" spans="1:78">
      <c r="A112" s="3"/>
      <c r="B112" s="3" t="s">
        <v>2521</v>
      </c>
      <c r="C112" s="3"/>
      <c r="D112" s="3"/>
      <c r="E112" s="3"/>
      <c r="F112" s="3"/>
      <c r="G112" s="3"/>
      <c r="H112" s="3"/>
      <c r="I112" s="3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3"/>
      <c r="AB112" s="3"/>
      <c r="AC112" s="3"/>
      <c r="AD112" s="11"/>
      <c r="AE112" s="11"/>
      <c r="AF112" s="11"/>
      <c r="AG112" s="3"/>
      <c r="AH112" s="11"/>
      <c r="AI112" s="11"/>
      <c r="AJ112" s="11"/>
      <c r="AK112" s="11"/>
      <c r="AL112" s="11"/>
      <c r="BK112"/>
      <c r="BX112" s="11"/>
      <c r="BZ112" s="11"/>
    </row>
    <row r="113" spans="1:78">
      <c r="A113" s="3"/>
      <c r="B113" s="3" t="s">
        <v>426</v>
      </c>
      <c r="C113" s="3"/>
      <c r="D113" s="3"/>
      <c r="E113" s="3"/>
      <c r="F113" s="3"/>
      <c r="G113" s="87">
        <v>113277</v>
      </c>
      <c r="H113" s="87">
        <f>217040-G113</f>
        <v>103763</v>
      </c>
      <c r="I113" s="87">
        <f>315110-G113-H113</f>
        <v>98070</v>
      </c>
      <c r="J113" s="87">
        <f>408600-G113-H113-I113</f>
        <v>93490</v>
      </c>
      <c r="K113" s="87">
        <v>108571</v>
      </c>
      <c r="L113" s="87">
        <f>203863-K113</f>
        <v>95292</v>
      </c>
      <c r="M113" s="87">
        <f>290043-K113-L113</f>
        <v>86180</v>
      </c>
      <c r="N113" s="87">
        <f>370028-K113-L113-M113</f>
        <v>79985</v>
      </c>
      <c r="O113" s="87">
        <v>101167</v>
      </c>
      <c r="P113" s="87">
        <v>109360</v>
      </c>
      <c r="Q113" s="87">
        <v>105273</v>
      </c>
      <c r="R113" s="87">
        <f>445467-O113-P113-Q113</f>
        <v>129667</v>
      </c>
      <c r="S113" s="266">
        <v>106706</v>
      </c>
      <c r="T113" s="266">
        <v>130420</v>
      </c>
      <c r="U113" s="266">
        <v>129445</v>
      </c>
      <c r="V113" s="266">
        <v>148695</v>
      </c>
      <c r="W113" s="266">
        <v>111871</v>
      </c>
      <c r="X113" s="266">
        <v>128184</v>
      </c>
      <c r="Y113" s="266">
        <v>108910</v>
      </c>
      <c r="Z113" s="266">
        <v>127277</v>
      </c>
      <c r="AA113" s="87">
        <f t="shared" ref="AA113:AF113" si="203">AA110+AA111</f>
        <v>116100</v>
      </c>
      <c r="AB113" s="87">
        <f t="shared" si="203"/>
        <v>134000</v>
      </c>
      <c r="AC113" s="87">
        <f t="shared" si="203"/>
        <v>120000</v>
      </c>
      <c r="AD113" s="87">
        <f t="shared" si="203"/>
        <v>164822.5</v>
      </c>
      <c r="AE113" s="87">
        <f t="shared" si="203"/>
        <v>534922.5</v>
      </c>
      <c r="AF113" s="87">
        <f t="shared" si="203"/>
        <v>521898.29999999993</v>
      </c>
      <c r="AG113" s="3"/>
      <c r="AH113" s="87"/>
      <c r="AI113" s="87"/>
      <c r="AJ113" s="87"/>
      <c r="AK113" s="87"/>
      <c r="AL113" s="87"/>
      <c r="BK113"/>
      <c r="BX113" s="87">
        <f>BX110+BX111</f>
        <v>127960</v>
      </c>
      <c r="BZ113" s="87">
        <v>196660</v>
      </c>
    </row>
    <row r="114" spans="1:78">
      <c r="A114" s="3"/>
      <c r="B114" s="3" t="s">
        <v>2520</v>
      </c>
      <c r="C114" s="3"/>
      <c r="D114" s="3"/>
      <c r="E114" s="3"/>
      <c r="F114" s="3"/>
      <c r="G114" s="87">
        <f>G113/Interims!AY288</f>
        <v>169.57634730538922</v>
      </c>
      <c r="H114" s="87">
        <f>H113/Interims!AZ288</f>
        <v>151.92240117130308</v>
      </c>
      <c r="I114" s="87">
        <f>I113/Interims!BA288</f>
        <v>143.58711566617862</v>
      </c>
      <c r="J114" s="87">
        <f>J113/Interims!BB288</f>
        <v>123.82781456953643</v>
      </c>
      <c r="K114" s="87">
        <f>K113/Interims!BC288</f>
        <v>135.01336815270784</v>
      </c>
      <c r="L114" s="87">
        <f>L113/Interims!BD288</f>
        <v>115.8548230009788</v>
      </c>
      <c r="M114" s="87">
        <f>M113/Interims!BE288</f>
        <v>110.39008424602447</v>
      </c>
      <c r="N114" s="87">
        <f>N113/Interims!BF288</f>
        <v>105.24342105263158</v>
      </c>
      <c r="O114" s="87">
        <f>O113/Interims!BG288</f>
        <v>139.73342541436463</v>
      </c>
      <c r="P114" s="87">
        <f>P113/Interims!BH288</f>
        <v>152.73743016759778</v>
      </c>
      <c r="Q114" s="87">
        <f>Q113/Interims!BI288</f>
        <v>136.01162790697674</v>
      </c>
      <c r="R114" s="87">
        <f>R113/Interims!BJ288</f>
        <v>156.7920193470375</v>
      </c>
      <c r="S114" s="87">
        <f>S113/Interims!BK288</f>
        <v>132.03433148134505</v>
      </c>
      <c r="T114" s="578">
        <f>T113/Interims!BL288</f>
        <v>154.40028893706528</v>
      </c>
      <c r="U114" s="578">
        <f>U113/Interims!BM288</f>
        <v>139.33799784714748</v>
      </c>
      <c r="V114" s="578">
        <f>V113/Interims!BN288</f>
        <v>162.86418400876232</v>
      </c>
      <c r="W114" s="578">
        <f>W113/Interims!BO288</f>
        <v>137.98871931832392</v>
      </c>
      <c r="X114" s="578">
        <f>X113/Interims!BP288</f>
        <v>159.99354799685472</v>
      </c>
      <c r="Y114" s="578">
        <f>Y113/Interims!BQ288</f>
        <v>127.64130218415441</v>
      </c>
      <c r="Z114" s="578">
        <f>Z113/Interims!BR288</f>
        <v>142.05022321428572</v>
      </c>
      <c r="AA114" s="578">
        <f>AA113/Interims!BS288</f>
        <v>124.79845211222187</v>
      </c>
      <c r="AB114" s="578">
        <f>AB113/Interims!BT288</f>
        <v>144.03955713210792</v>
      </c>
      <c r="AC114" s="578">
        <f>AC113/Interims!BU288</f>
        <v>128.99064817800709</v>
      </c>
      <c r="AD114" s="578">
        <f>AD113/Interims!BV288</f>
        <v>177.17134257766313</v>
      </c>
      <c r="AE114" s="87"/>
      <c r="AF114" s="87"/>
      <c r="AG114" s="3"/>
      <c r="AH114" s="87"/>
      <c r="AI114" s="87"/>
      <c r="AJ114" s="87"/>
      <c r="AK114" s="87"/>
      <c r="AL114" s="87"/>
      <c r="BK114"/>
      <c r="BX114" s="87"/>
      <c r="BZ114" s="87"/>
    </row>
    <row r="115" spans="1:78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BK115"/>
      <c r="BX115" s="3"/>
      <c r="BZ115" s="3"/>
    </row>
    <row r="116" spans="1:78">
      <c r="A116" s="3"/>
      <c r="B116" s="455" t="s">
        <v>659</v>
      </c>
      <c r="C116" s="13" t="str">
        <f t="shared" ref="C116:N116" si="204">C103</f>
        <v>Q1 18</v>
      </c>
      <c r="D116" s="13" t="str">
        <f t="shared" si="204"/>
        <v>Q2 18</v>
      </c>
      <c r="E116" s="13" t="str">
        <f t="shared" si="204"/>
        <v>Q3 18</v>
      </c>
      <c r="F116" s="13" t="str">
        <f t="shared" si="204"/>
        <v>Q4 18</v>
      </c>
      <c r="G116" s="13" t="str">
        <f t="shared" si="204"/>
        <v>Q1 19</v>
      </c>
      <c r="H116" s="13" t="str">
        <f t="shared" si="204"/>
        <v>Q2 19</v>
      </c>
      <c r="I116" s="13" t="str">
        <f t="shared" si="204"/>
        <v>Q3 19</v>
      </c>
      <c r="J116" s="13" t="str">
        <f t="shared" si="204"/>
        <v>Q4 19</v>
      </c>
      <c r="K116" s="13" t="str">
        <f t="shared" si="204"/>
        <v>Q1 20</v>
      </c>
      <c r="L116" s="13" t="str">
        <f t="shared" si="204"/>
        <v>Q2 20</v>
      </c>
      <c r="M116" s="13" t="str">
        <f t="shared" si="204"/>
        <v>Q3 20</v>
      </c>
      <c r="N116" s="13" t="str">
        <f t="shared" si="204"/>
        <v>Q4 20</v>
      </c>
      <c r="O116" s="13" t="s">
        <v>2904</v>
      </c>
      <c r="P116" s="13" t="s">
        <v>2907</v>
      </c>
      <c r="Q116" s="13" t="s">
        <v>2928</v>
      </c>
      <c r="R116" s="13" t="s">
        <v>2929</v>
      </c>
      <c r="S116" s="13" t="str">
        <f>S103</f>
        <v>Q1 22</v>
      </c>
      <c r="T116" s="13" t="str">
        <f t="shared" ref="T116:AF116" si="205">T103</f>
        <v>Q2 22</v>
      </c>
      <c r="U116" s="13" t="str">
        <f t="shared" si="205"/>
        <v>Q3 22</v>
      </c>
      <c r="V116" s="13" t="str">
        <f t="shared" si="205"/>
        <v>Q4 22</v>
      </c>
      <c r="W116" s="13" t="str">
        <f t="shared" si="205"/>
        <v>Q1 23</v>
      </c>
      <c r="X116" s="13" t="str">
        <f t="shared" si="205"/>
        <v>Q2 23</v>
      </c>
      <c r="Y116" s="13" t="str">
        <f t="shared" si="205"/>
        <v>Q3 23</v>
      </c>
      <c r="Z116" s="13" t="str">
        <f t="shared" si="205"/>
        <v>Q4 23</v>
      </c>
      <c r="AA116" s="13" t="str">
        <f t="shared" si="205"/>
        <v>Q1 24e</v>
      </c>
      <c r="AB116" s="13" t="str">
        <f t="shared" si="205"/>
        <v>Q2 24e</v>
      </c>
      <c r="AC116" s="13" t="str">
        <f t="shared" si="205"/>
        <v>Q3 24e</v>
      </c>
      <c r="AD116" s="13" t="str">
        <f t="shared" si="205"/>
        <v>Q4 24e</v>
      </c>
      <c r="AE116" s="13">
        <f t="shared" si="205"/>
        <v>2024</v>
      </c>
      <c r="AF116" s="13">
        <f t="shared" si="205"/>
        <v>2025</v>
      </c>
      <c r="AG116" s="3"/>
      <c r="AH116" s="403"/>
      <c r="AI116" s="403"/>
      <c r="AJ116" s="403"/>
      <c r="AK116" s="403"/>
      <c r="AL116" s="403"/>
      <c r="BK116"/>
      <c r="BX116" s="13" t="str">
        <f>BX103</f>
        <v>Q1 23e</v>
      </c>
      <c r="BZ116" s="13" t="s">
        <v>3079</v>
      </c>
    </row>
    <row r="117" spans="1:78">
      <c r="A117" s="3"/>
      <c r="B117" s="3" t="s">
        <v>2523</v>
      </c>
      <c r="C117" s="3"/>
      <c r="D117" s="3"/>
      <c r="E117" s="3"/>
      <c r="F117" s="3"/>
      <c r="G117" s="5">
        <f t="shared" ref="G117:Z117" si="206">G110/G6</f>
        <v>0.25256771155917845</v>
      </c>
      <c r="H117" s="5">
        <f t="shared" si="206"/>
        <v>0.22414674885075311</v>
      </c>
      <c r="I117" s="5">
        <f t="shared" si="206"/>
        <v>0.18583518515278238</v>
      </c>
      <c r="J117" s="5">
        <f t="shared" si="206"/>
        <v>0.15743549104343166</v>
      </c>
      <c r="K117" s="5">
        <f t="shared" si="206"/>
        <v>0.25780068119228666</v>
      </c>
      <c r="L117" s="5">
        <f t="shared" si="206"/>
        <v>0.20983596643737243</v>
      </c>
      <c r="M117" s="5">
        <f t="shared" si="206"/>
        <v>0.16425500867107889</v>
      </c>
      <c r="N117" s="5">
        <f t="shared" si="206"/>
        <v>0.1342793503015742</v>
      </c>
      <c r="O117" s="5">
        <f t="shared" si="206"/>
        <v>0.20340117630827248</v>
      </c>
      <c r="P117" s="5">
        <f t="shared" si="206"/>
        <v>0.18402381022140185</v>
      </c>
      <c r="Q117" s="5">
        <f t="shared" si="206"/>
        <v>0.2135926482048163</v>
      </c>
      <c r="R117" s="5">
        <f t="shared" si="206"/>
        <v>0.24953066658045864</v>
      </c>
      <c r="S117" s="5">
        <f t="shared" si="206"/>
        <v>0.21254120955314013</v>
      </c>
      <c r="T117" s="5">
        <f t="shared" si="206"/>
        <v>0.2434194417238002</v>
      </c>
      <c r="U117" s="5">
        <f t="shared" si="206"/>
        <v>0.23797581379009181</v>
      </c>
      <c r="V117" s="5">
        <f t="shared" si="206"/>
        <v>0.24986829919536221</v>
      </c>
      <c r="W117" s="5">
        <f t="shared" si="206"/>
        <v>0.19387821919768342</v>
      </c>
      <c r="X117" s="5">
        <f t="shared" si="206"/>
        <v>0.23367830775929302</v>
      </c>
      <c r="Y117" s="5">
        <f t="shared" si="206"/>
        <v>0.20696991638480841</v>
      </c>
      <c r="Z117" s="5">
        <f t="shared" si="206"/>
        <v>0.1620853914256758</v>
      </c>
      <c r="AA117" s="5">
        <f t="shared" ref="AA117:AC117" si="207">AA110/AA6</f>
        <v>0.19188940734388682</v>
      </c>
      <c r="AB117" s="5">
        <f t="shared" si="207"/>
        <v>0.23106436297830762</v>
      </c>
      <c r="AC117" s="5">
        <f t="shared" si="207"/>
        <v>0.20563293939706973</v>
      </c>
      <c r="AD117" s="5">
        <f>AD110/AD6</f>
        <v>0.27338483431003374</v>
      </c>
      <c r="AE117" s="5">
        <f>AE110/AE6</f>
        <v>0.22664316030193471</v>
      </c>
      <c r="AF117" s="5">
        <f>AF110/AF6</f>
        <v>0.22156179406168713</v>
      </c>
      <c r="AG117" s="3"/>
      <c r="AH117" s="5"/>
      <c r="AI117" s="5"/>
      <c r="AJ117" s="5"/>
      <c r="AK117" s="5"/>
      <c r="AL117" s="5"/>
      <c r="BK117"/>
      <c r="BX117" s="5">
        <f>BX110/BX6</f>
        <v>0.23286217824003905</v>
      </c>
      <c r="BZ117" s="5">
        <v>0.3722041582301821</v>
      </c>
    </row>
    <row r="118" spans="1:78">
      <c r="A118" s="3"/>
      <c r="B118" s="2" t="s">
        <v>30</v>
      </c>
      <c r="C118" s="2"/>
      <c r="D118" s="2"/>
      <c r="E118" s="2"/>
      <c r="F118" s="2"/>
      <c r="G118" s="82">
        <f t="shared" ref="G118:U118" si="208">G111/(G8+G9)</f>
        <v>0.20953480951683634</v>
      </c>
      <c r="H118" s="82">
        <f t="shared" si="208"/>
        <v>0.19030405344155527</v>
      </c>
      <c r="I118" s="82">
        <f t="shared" si="208"/>
        <v>0.21714398649673297</v>
      </c>
      <c r="J118" s="82">
        <f t="shared" si="208"/>
        <v>0.2105118250705087</v>
      </c>
      <c r="K118" s="82">
        <f t="shared" si="208"/>
        <v>0.11212615485740021</v>
      </c>
      <c r="L118" s="82">
        <f t="shared" si="208"/>
        <v>0.20375499669509931</v>
      </c>
      <c r="M118" s="82">
        <f t="shared" si="208"/>
        <v>0.15548189944537349</v>
      </c>
      <c r="N118" s="82">
        <f t="shared" si="208"/>
        <v>0.14058495643259866</v>
      </c>
      <c r="O118" s="82">
        <f t="shared" si="208"/>
        <v>0.12411192354194255</v>
      </c>
      <c r="P118" s="82">
        <f t="shared" si="208"/>
        <v>0.18249127516778524</v>
      </c>
      <c r="Q118" s="82">
        <f t="shared" si="208"/>
        <v>7.8090389969314555E-2</v>
      </c>
      <c r="R118" s="82">
        <f t="shared" si="208"/>
        <v>9.6058510993041815E-2</v>
      </c>
      <c r="S118" s="82">
        <f t="shared" si="208"/>
        <v>8.0559964611901846E-2</v>
      </c>
      <c r="T118" s="82">
        <f t="shared" si="208"/>
        <v>0.11802899310103922</v>
      </c>
      <c r="U118" s="82">
        <f t="shared" si="208"/>
        <v>0.14531986041129466</v>
      </c>
      <c r="V118" s="82">
        <f t="shared" ref="V118:AF118" si="209">V111/(V10)</f>
        <v>0.20329196828679766</v>
      </c>
      <c r="W118" s="82">
        <f t="shared" si="209"/>
        <v>0.16274363888435817</v>
      </c>
      <c r="X118" s="82">
        <f t="shared" si="209"/>
        <v>0.15684076852285056</v>
      </c>
      <c r="Y118" s="82">
        <f t="shared" si="209"/>
        <v>0.12388199952285663</v>
      </c>
      <c r="Z118" s="82">
        <f t="shared" si="209"/>
        <v>0.21025608346154195</v>
      </c>
      <c r="AA118" s="82">
        <f t="shared" si="209"/>
        <v>0.17595028992083342</v>
      </c>
      <c r="AB118" s="82">
        <f t="shared" si="209"/>
        <v>0.16322237911260937</v>
      </c>
      <c r="AC118" s="82">
        <f t="shared" si="209"/>
        <v>0.15817513616563089</v>
      </c>
      <c r="AD118" s="82">
        <f t="shared" si="209"/>
        <v>0.15532502657298394</v>
      </c>
      <c r="AE118" s="82">
        <f t="shared" si="209"/>
        <v>0.16257084310844613</v>
      </c>
      <c r="AF118" s="82">
        <f t="shared" si="209"/>
        <v>0.14532372780702124</v>
      </c>
      <c r="AG118" s="3"/>
      <c r="AH118" s="5"/>
      <c r="AI118" s="5"/>
      <c r="AJ118" s="5"/>
      <c r="AK118" s="5"/>
      <c r="BK118"/>
      <c r="BX118" s="82">
        <f>BX111/(BX10)</f>
        <v>0.13564504428182619</v>
      </c>
      <c r="BZ118" s="82">
        <v>0.20203261340907111</v>
      </c>
    </row>
    <row r="119" spans="1:78">
      <c r="A119" s="3"/>
      <c r="B119" s="3" t="s">
        <v>426</v>
      </c>
      <c r="C119" s="3"/>
      <c r="D119" s="3"/>
      <c r="E119" s="3"/>
      <c r="F119" s="3"/>
      <c r="G119" s="5">
        <f t="shared" ref="G119:Z119" si="210">G113/G13</f>
        <v>0.23858588624324695</v>
      </c>
      <c r="H119" s="5">
        <f t="shared" si="210"/>
        <v>0.21375085232130092</v>
      </c>
      <c r="I119" s="5">
        <f t="shared" si="210"/>
        <v>0.19673492641748647</v>
      </c>
      <c r="J119" s="5">
        <f t="shared" si="210"/>
        <v>0.1759871393289561</v>
      </c>
      <c r="K119" s="5">
        <f t="shared" si="210"/>
        <v>0.2084556529419106</v>
      </c>
      <c r="L119" s="5">
        <f t="shared" si="210"/>
        <v>0.20657541611206737</v>
      </c>
      <c r="M119" s="5">
        <f t="shared" si="210"/>
        <v>0.16077158421013357</v>
      </c>
      <c r="N119" s="5">
        <f t="shared" si="210"/>
        <v>0.13559307667531234</v>
      </c>
      <c r="O119" s="5">
        <f t="shared" si="210"/>
        <v>0.17787322925878976</v>
      </c>
      <c r="P119" s="5">
        <f t="shared" si="210"/>
        <v>0.18282947673922892</v>
      </c>
      <c r="Q119" s="5">
        <f t="shared" si="210"/>
        <v>0.16888373391342851</v>
      </c>
      <c r="R119" s="5">
        <f t="shared" si="210"/>
        <v>0.19659591758760753</v>
      </c>
      <c r="S119" s="5">
        <f t="shared" si="210"/>
        <v>0.16417797923196106</v>
      </c>
      <c r="T119" s="5">
        <f t="shared" si="210"/>
        <v>0.19648460981037019</v>
      </c>
      <c r="U119" s="5">
        <f t="shared" si="210"/>
        <v>0.20343519368344293</v>
      </c>
      <c r="V119" s="5">
        <f t="shared" si="210"/>
        <v>0.23139373115096964</v>
      </c>
      <c r="W119" s="5">
        <f t="shared" si="210"/>
        <v>0.18239698176209529</v>
      </c>
      <c r="X119" s="5">
        <f t="shared" si="210"/>
        <v>0.20751048609166245</v>
      </c>
      <c r="Y119" s="5">
        <f t="shared" si="210"/>
        <v>0.17639018006666257</v>
      </c>
      <c r="Z119" s="5">
        <f t="shared" si="210"/>
        <v>0.17564121317836945</v>
      </c>
      <c r="AA119" s="5">
        <f t="shared" ref="AA119:AC119" si="211">AA113/AA13</f>
        <v>0.18532400082529038</v>
      </c>
      <c r="AB119" s="5">
        <f t="shared" si="211"/>
        <v>0.20672447248581352</v>
      </c>
      <c r="AC119" s="5">
        <f t="shared" si="211"/>
        <v>0.18645698439312311</v>
      </c>
      <c r="AD119" s="5">
        <f>AD113/AD13</f>
        <v>0.23000945959020197</v>
      </c>
      <c r="AE119" s="5">
        <f>AE113/AE13</f>
        <v>0.20301847939825216</v>
      </c>
      <c r="AF119" s="5">
        <f>AF113/AF13</f>
        <v>0.19372657878288274</v>
      </c>
      <c r="AG119" s="3"/>
      <c r="AH119" s="5"/>
      <c r="AI119" s="5"/>
      <c r="AJ119" s="5"/>
      <c r="AK119" s="5"/>
      <c r="AL119" s="5"/>
      <c r="BK119"/>
      <c r="BX119" s="5">
        <f>BX113/BX13</f>
        <v>0.1992348841722637</v>
      </c>
      <c r="BZ119" s="5">
        <v>0.30967516362010872</v>
      </c>
    </row>
    <row r="120" spans="1:78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BK120"/>
    </row>
    <row r="121" spans="1:78">
      <c r="A121" s="3"/>
      <c r="B121" s="455" t="s">
        <v>177</v>
      </c>
      <c r="C121" s="13" t="str">
        <f t="shared" ref="C121:R121" si="212">C116</f>
        <v>Q1 18</v>
      </c>
      <c r="D121" s="13" t="str">
        <f t="shared" si="212"/>
        <v>Q2 18</v>
      </c>
      <c r="E121" s="13" t="str">
        <f t="shared" si="212"/>
        <v>Q3 18</v>
      </c>
      <c r="F121" s="13" t="str">
        <f t="shared" si="212"/>
        <v>Q4 18</v>
      </c>
      <c r="G121" s="13" t="str">
        <f t="shared" si="212"/>
        <v>Q1 19</v>
      </c>
      <c r="H121" s="13" t="str">
        <f t="shared" si="212"/>
        <v>Q2 19</v>
      </c>
      <c r="I121" s="13" t="str">
        <f t="shared" si="212"/>
        <v>Q3 19</v>
      </c>
      <c r="J121" s="13" t="str">
        <f t="shared" si="212"/>
        <v>Q4 19</v>
      </c>
      <c r="K121" s="13" t="str">
        <f t="shared" si="212"/>
        <v>Q1 20</v>
      </c>
      <c r="L121" s="13" t="str">
        <f t="shared" si="212"/>
        <v>Q2 20</v>
      </c>
      <c r="M121" s="13" t="str">
        <f t="shared" si="212"/>
        <v>Q3 20</v>
      </c>
      <c r="N121" s="13" t="str">
        <f t="shared" si="212"/>
        <v>Q4 20</v>
      </c>
      <c r="O121" s="13" t="str">
        <f t="shared" si="212"/>
        <v>Q1 21</v>
      </c>
      <c r="P121" s="13" t="str">
        <f t="shared" si="212"/>
        <v>Q2 21</v>
      </c>
      <c r="Q121" s="13" t="str">
        <f t="shared" si="212"/>
        <v>Q3 21</v>
      </c>
      <c r="R121" s="13" t="str">
        <f t="shared" si="212"/>
        <v>Q4 21</v>
      </c>
      <c r="S121" s="13" t="str">
        <f>S116</f>
        <v>Q1 22</v>
      </c>
      <c r="T121" s="13" t="str">
        <f t="shared" ref="T121:AF121" si="213">T116</f>
        <v>Q2 22</v>
      </c>
      <c r="U121" s="13" t="str">
        <f t="shared" si="213"/>
        <v>Q3 22</v>
      </c>
      <c r="V121" s="13" t="str">
        <f t="shared" si="213"/>
        <v>Q4 22</v>
      </c>
      <c r="W121" s="13" t="str">
        <f t="shared" si="213"/>
        <v>Q1 23</v>
      </c>
      <c r="X121" s="13" t="str">
        <f t="shared" si="213"/>
        <v>Q2 23</v>
      </c>
      <c r="Y121" s="13" t="str">
        <f t="shared" si="213"/>
        <v>Q3 23</v>
      </c>
      <c r="Z121" s="13" t="str">
        <f t="shared" si="213"/>
        <v>Q4 23</v>
      </c>
      <c r="AA121" s="13" t="str">
        <f t="shared" si="213"/>
        <v>Q1 24e</v>
      </c>
      <c r="AB121" s="13" t="str">
        <f t="shared" si="213"/>
        <v>Q2 24e</v>
      </c>
      <c r="AC121" s="13" t="str">
        <f t="shared" si="213"/>
        <v>Q3 24e</v>
      </c>
      <c r="AD121" s="13" t="str">
        <f t="shared" si="213"/>
        <v>Q4 24e</v>
      </c>
      <c r="AE121" s="13">
        <f t="shared" si="213"/>
        <v>2024</v>
      </c>
      <c r="AF121" s="13">
        <f t="shared" si="213"/>
        <v>2025</v>
      </c>
      <c r="AG121" s="3"/>
      <c r="AH121" s="403"/>
      <c r="AI121" s="403"/>
      <c r="AJ121" s="403"/>
      <c r="AK121" s="403"/>
      <c r="AL121" s="403"/>
      <c r="BK121"/>
      <c r="BX121" s="13" t="str">
        <f>BX116</f>
        <v>Q1 23e</v>
      </c>
      <c r="BZ121" s="13" t="s">
        <v>3079</v>
      </c>
    </row>
    <row r="122" spans="1:78">
      <c r="A122" s="3"/>
      <c r="B122" s="3" t="s">
        <v>2523</v>
      </c>
      <c r="C122" s="3"/>
      <c r="D122" s="3"/>
      <c r="E122" s="3"/>
      <c r="F122" s="3"/>
      <c r="G122" s="87">
        <f t="shared" ref="G122:V122" si="214">G91+G94-G110</f>
        <v>36330</v>
      </c>
      <c r="H122" s="87">
        <f t="shared" si="214"/>
        <v>40754</v>
      </c>
      <c r="I122" s="87">
        <f t="shared" si="214"/>
        <v>58621</v>
      </c>
      <c r="J122" s="87">
        <f t="shared" si="214"/>
        <v>74103.5</v>
      </c>
      <c r="K122" s="87">
        <f t="shared" si="214"/>
        <v>29895.807106598979</v>
      </c>
      <c r="L122" s="87">
        <f t="shared" si="214"/>
        <v>49305.560386473429</v>
      </c>
      <c r="M122" s="87">
        <f t="shared" si="214"/>
        <v>62518.014563106801</v>
      </c>
      <c r="N122" s="87">
        <f t="shared" si="214"/>
        <v>86367.487589132594</v>
      </c>
      <c r="O122" s="87">
        <f t="shared" si="214"/>
        <v>50985.624365482232</v>
      </c>
      <c r="P122" s="87">
        <f t="shared" si="214"/>
        <v>73036.826086956513</v>
      </c>
      <c r="Q122" s="87">
        <f t="shared" si="214"/>
        <v>63576.883495145623</v>
      </c>
      <c r="R122" s="87">
        <f t="shared" si="214"/>
        <v>42822.369618196593</v>
      </c>
      <c r="S122" s="87">
        <f t="shared" si="214"/>
        <v>53769.345177664974</v>
      </c>
      <c r="T122" s="87">
        <f t="shared" si="214"/>
        <v>34697.386473429942</v>
      </c>
      <c r="U122" s="87">
        <f t="shared" ref="U122" si="215">U91+U94-U110</f>
        <v>24801.038834951454</v>
      </c>
      <c r="V122" s="87">
        <f t="shared" si="214"/>
        <v>3476.5585341637343</v>
      </c>
      <c r="W122" s="87">
        <f t="shared" ref="W122" si="216">W91+W94-W110</f>
        <v>33007.522842639592</v>
      </c>
      <c r="X122" s="87">
        <f t="shared" ref="X122:Z122" si="217">X91+X94-X110</f>
        <v>33495.193236714986</v>
      </c>
      <c r="Y122" s="87">
        <f t="shared" si="217"/>
        <v>35512.378640776704</v>
      </c>
      <c r="Z122" s="87">
        <f t="shared" si="217"/>
        <v>41746.582994855125</v>
      </c>
      <c r="AA122" s="87">
        <f t="shared" ref="AA122:AC122" si="218">AA91+AA94-AA110</f>
        <v>29790.843984771564</v>
      </c>
      <c r="AB122" s="87">
        <f t="shared" si="218"/>
        <v>30000.217898550705</v>
      </c>
      <c r="AC122" s="87">
        <f t="shared" si="218"/>
        <v>31875.237572815546</v>
      </c>
      <c r="AD122" s="87">
        <f t="shared" ref="AD122:AF122" si="219">AD91+AD94-AD110</f>
        <v>-18198.650055402017</v>
      </c>
      <c r="AE122" s="87">
        <f t="shared" ref="AE122" si="220">AE91+AE94-AE110</f>
        <v>73467.649400735798</v>
      </c>
      <c r="AF122" s="87">
        <f t="shared" si="219"/>
        <v>90347.530961772602</v>
      </c>
      <c r="AG122" s="3"/>
      <c r="AH122" s="87"/>
      <c r="AI122" s="87"/>
      <c r="AJ122" s="87"/>
      <c r="AK122" s="87"/>
      <c r="BK122"/>
      <c r="BX122" s="87">
        <f>BX91+BX94-BX110</f>
        <v>13016.721449999997</v>
      </c>
      <c r="BZ122" s="87">
        <v>-37310.755289721303</v>
      </c>
    </row>
    <row r="123" spans="1:78">
      <c r="A123" s="3"/>
      <c r="B123" s="2" t="s">
        <v>30</v>
      </c>
      <c r="C123" s="2"/>
      <c r="D123" s="2"/>
      <c r="E123" s="2"/>
      <c r="F123" s="2"/>
      <c r="G123" s="379">
        <f t="shared" ref="G123:V123" si="221">G93-G111</f>
        <v>-31454.931999999997</v>
      </c>
      <c r="H123" s="379">
        <f t="shared" si="221"/>
        <v>-26915.313999999998</v>
      </c>
      <c r="I123" s="379">
        <f t="shared" si="221"/>
        <v>-28481.576999999997</v>
      </c>
      <c r="J123" s="379">
        <f t="shared" si="221"/>
        <v>-38120.415000000001</v>
      </c>
      <c r="K123" s="379">
        <f t="shared" si="221"/>
        <v>-6569.8071065989843</v>
      </c>
      <c r="L123" s="379">
        <f t="shared" si="221"/>
        <v>-24461.560386473429</v>
      </c>
      <c r="M123" s="379">
        <f t="shared" si="221"/>
        <v>-18768.014563106794</v>
      </c>
      <c r="N123" s="379">
        <f t="shared" si="221"/>
        <v>-16645.487589132594</v>
      </c>
      <c r="O123" s="379">
        <f t="shared" si="221"/>
        <v>-8405.624365482232</v>
      </c>
      <c r="P123" s="379">
        <f t="shared" si="221"/>
        <v>-17643.82608695652</v>
      </c>
      <c r="Q123" s="379">
        <f t="shared" si="221"/>
        <v>5842.1165048543699</v>
      </c>
      <c r="R123" s="379">
        <f t="shared" si="221"/>
        <v>-5609.3696181965861</v>
      </c>
      <c r="S123" s="379">
        <f t="shared" si="221"/>
        <v>10117.654822335026</v>
      </c>
      <c r="T123" s="379">
        <f t="shared" si="221"/>
        <v>2161.6135265700505</v>
      </c>
      <c r="U123" s="379">
        <f t="shared" ref="U123" si="222">U93-U111</f>
        <v>-9089.0388349514542</v>
      </c>
      <c r="V123" s="379">
        <f t="shared" si="221"/>
        <v>-21458.558534163734</v>
      </c>
      <c r="W123" s="379">
        <f t="shared" ref="W123" si="223">W93-W111</f>
        <v>-6264.5228426395915</v>
      </c>
      <c r="X123" s="379">
        <f t="shared" ref="X123:Z123" si="224">X93-X111</f>
        <v>-4348.1932367149748</v>
      </c>
      <c r="Y123" s="379">
        <f t="shared" si="224"/>
        <v>9828.6213592233034</v>
      </c>
      <c r="Z123" s="379">
        <f t="shared" si="224"/>
        <v>-11437.582994855133</v>
      </c>
      <c r="AA123" s="379">
        <f t="shared" ref="AA123:AC123" si="225">AA93-AA111</f>
        <v>-4199.7989847715726</v>
      </c>
      <c r="AB123" s="379">
        <f t="shared" si="225"/>
        <v>-2035.5028985507233</v>
      </c>
      <c r="AC123" s="379">
        <f t="shared" si="225"/>
        <v>955.5024271844668</v>
      </c>
      <c r="AD123" s="379">
        <f t="shared" ref="AD123:AF123" si="226">AD93-AD111</f>
        <v>-1393.8139365772076</v>
      </c>
      <c r="AE123" s="379">
        <f t="shared" ref="AE123" si="227">AE93-AE111</f>
        <v>-6673.6133927150513</v>
      </c>
      <c r="AF123" s="379">
        <f t="shared" si="226"/>
        <v>16398.374635879387</v>
      </c>
      <c r="AG123" s="3"/>
      <c r="AH123" s="87"/>
      <c r="AI123" s="87"/>
      <c r="AJ123" s="87"/>
      <c r="AK123" s="87"/>
      <c r="BK123"/>
      <c r="BX123" s="379">
        <f>BX93-BX111</f>
        <v>910</v>
      </c>
      <c r="BZ123" s="379">
        <v>-359.8538833661587</v>
      </c>
    </row>
    <row r="124" spans="1:78">
      <c r="A124" s="3"/>
      <c r="B124" s="3" t="s">
        <v>426</v>
      </c>
      <c r="C124" s="3"/>
      <c r="D124" s="3"/>
      <c r="E124" s="3"/>
      <c r="F124" s="3"/>
      <c r="G124" s="87">
        <f t="shared" ref="G124:V124" si="228">G95-G113</f>
        <v>4828</v>
      </c>
      <c r="H124" s="87">
        <f t="shared" si="228"/>
        <v>13188</v>
      </c>
      <c r="I124" s="87">
        <f t="shared" si="228"/>
        <v>28727</v>
      </c>
      <c r="J124" s="87">
        <f t="shared" si="228"/>
        <v>34893</v>
      </c>
      <c r="K124" s="87">
        <f t="shared" si="228"/>
        <v>23326</v>
      </c>
      <c r="L124" s="87">
        <f t="shared" si="228"/>
        <v>24844</v>
      </c>
      <c r="M124" s="87">
        <f t="shared" si="228"/>
        <v>43750</v>
      </c>
      <c r="N124" s="87">
        <f t="shared" si="228"/>
        <v>69722</v>
      </c>
      <c r="O124" s="87">
        <f t="shared" si="228"/>
        <v>42580</v>
      </c>
      <c r="P124" s="87">
        <f t="shared" si="228"/>
        <v>55393</v>
      </c>
      <c r="Q124" s="87">
        <f t="shared" si="228"/>
        <v>69419</v>
      </c>
      <c r="R124" s="87">
        <f t="shared" si="228"/>
        <v>37213</v>
      </c>
      <c r="S124" s="87">
        <f t="shared" si="228"/>
        <v>63887</v>
      </c>
      <c r="T124" s="87">
        <f t="shared" si="228"/>
        <v>36859</v>
      </c>
      <c r="U124" s="87">
        <f t="shared" ref="U124" si="229">U95-U113</f>
        <v>15712</v>
      </c>
      <c r="V124" s="87">
        <f t="shared" si="228"/>
        <v>-17982</v>
      </c>
      <c r="W124" s="87">
        <f t="shared" ref="W124" si="230">W95-W113</f>
        <v>26743</v>
      </c>
      <c r="X124" s="87">
        <f t="shared" ref="X124:Z124" si="231">X95-X113</f>
        <v>29147</v>
      </c>
      <c r="Y124" s="87">
        <f t="shared" si="231"/>
        <v>45341</v>
      </c>
      <c r="Z124" s="87">
        <f t="shared" si="231"/>
        <v>30309</v>
      </c>
      <c r="AA124" s="87">
        <f t="shared" ref="AA124:AC124" si="232">AA95-AA113</f>
        <v>25591.045000000013</v>
      </c>
      <c r="AB124" s="87">
        <f t="shared" si="232"/>
        <v>27964.714999999997</v>
      </c>
      <c r="AC124" s="87">
        <f t="shared" si="232"/>
        <v>32830.739999999991</v>
      </c>
      <c r="AD124" s="87">
        <f t="shared" ref="AD124:AF124" si="233">AD95-AD113</f>
        <v>-19592.463991979253</v>
      </c>
      <c r="AE124" s="87">
        <f t="shared" ref="AE124" si="234">AE95-AE113</f>
        <v>66794.036008020747</v>
      </c>
      <c r="AF124" s="87">
        <f t="shared" si="233"/>
        <v>106745.90559765196</v>
      </c>
      <c r="AG124" s="3"/>
      <c r="AH124" s="87"/>
      <c r="AI124" s="87"/>
      <c r="AJ124" s="87"/>
      <c r="AK124" s="87"/>
      <c r="BK124"/>
      <c r="BX124" s="87">
        <f>BX95-BX113</f>
        <v>13926.721450000012</v>
      </c>
      <c r="BZ124" s="87">
        <v>-37670.609173087461</v>
      </c>
    </row>
    <row r="125" spans="1:78">
      <c r="A125" s="3"/>
      <c r="B125" s="3"/>
      <c r="C125" s="3"/>
      <c r="D125" s="3"/>
      <c r="E125" s="3"/>
      <c r="F125" s="3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3"/>
      <c r="AB125" s="3"/>
      <c r="AC125" s="3"/>
      <c r="AD125" s="5"/>
      <c r="AE125" s="5"/>
      <c r="AF125" s="5"/>
      <c r="AG125" s="3"/>
      <c r="AH125" s="5"/>
      <c r="AI125" s="5"/>
      <c r="AJ125" s="5"/>
      <c r="AK125" s="5"/>
      <c r="BK125"/>
      <c r="BX125" s="5"/>
      <c r="BZ125" s="5"/>
    </row>
    <row r="126" spans="1:78">
      <c r="A126" s="3"/>
      <c r="B126" s="3" t="s">
        <v>2812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BK126"/>
    </row>
    <row r="127" spans="1:78">
      <c r="A127" s="3"/>
      <c r="B127" s="3" t="s">
        <v>2523</v>
      </c>
      <c r="C127" s="3"/>
      <c r="D127" s="3"/>
      <c r="E127" s="3"/>
      <c r="F127" s="3"/>
      <c r="G127" s="5">
        <f t="shared" ref="G127:Z127" si="235">G122/(G6+G12)</f>
        <v>0.10529336069279727</v>
      </c>
      <c r="H127" s="5">
        <f t="shared" si="235"/>
        <v>0.11915329064701927</v>
      </c>
      <c r="I127" s="5">
        <f t="shared" si="235"/>
        <v>0.16902379037024862</v>
      </c>
      <c r="J127" s="5">
        <f t="shared" si="235"/>
        <v>0.20894354561295672</v>
      </c>
      <c r="K127" s="5">
        <f t="shared" si="235"/>
        <v>8.3852385378465649E-2</v>
      </c>
      <c r="L127" s="5">
        <f t="shared" si="235"/>
        <v>0.14752868072910275</v>
      </c>
      <c r="M127" s="5">
        <f t="shared" si="235"/>
        <v>0.1690580758435779</v>
      </c>
      <c r="N127" s="5">
        <f t="shared" si="235"/>
        <v>0.21452750808291379</v>
      </c>
      <c r="O127" s="5">
        <f t="shared" si="235"/>
        <v>0.1290549862567861</v>
      </c>
      <c r="P127" s="5">
        <f t="shared" si="235"/>
        <v>0.17731559635874591</v>
      </c>
      <c r="Q127" s="5">
        <f t="shared" si="235"/>
        <v>0.14906305478217538</v>
      </c>
      <c r="R127" s="5">
        <f t="shared" si="235"/>
        <v>9.8522405861773937E-2</v>
      </c>
      <c r="S127" s="5">
        <f t="shared" si="235"/>
        <v>0.128219158416294</v>
      </c>
      <c r="T127" s="5">
        <f t="shared" si="235"/>
        <v>7.9810525370916749E-2</v>
      </c>
      <c r="U127" s="5">
        <f t="shared" si="235"/>
        <v>5.9504308687148698E-2</v>
      </c>
      <c r="V127" s="5">
        <f t="shared" si="235"/>
        <v>8.2357532849210765E-3</v>
      </c>
      <c r="W127" s="5">
        <f t="shared" si="235"/>
        <v>7.9127027090370256E-2</v>
      </c>
      <c r="X127" s="5">
        <f t="shared" si="235"/>
        <v>7.9143691783741282E-2</v>
      </c>
      <c r="Y127" s="5">
        <f t="shared" si="235"/>
        <v>8.6184843649121115E-2</v>
      </c>
      <c r="Z127" s="5">
        <f t="shared" si="235"/>
        <v>8.2675014050664866E-2</v>
      </c>
      <c r="AA127" s="5">
        <f t="shared" ref="AA127:AB127" si="236">AA122/(AA6+AA12)</f>
        <v>6.9677941573980023E-2</v>
      </c>
      <c r="AB127" s="5">
        <f t="shared" si="236"/>
        <v>6.9160875346590198E-2</v>
      </c>
      <c r="AC127" s="5">
        <f t="shared" ref="AC127" si="237">AC122/(AC6+AC12)</f>
        <v>7.547894275808574E-2</v>
      </c>
      <c r="AD127" s="5">
        <f>AD122/(AD6+AD12)</f>
        <v>-3.9201069164403753E-2</v>
      </c>
      <c r="AE127" s="5">
        <f>AE122/(AE6+AE12)</f>
        <v>4.2032674673770233E-2</v>
      </c>
      <c r="AF127" s="5">
        <f>AF122/(AF6+AF12)</f>
        <v>5.0761313937428561E-2</v>
      </c>
      <c r="AG127" s="3"/>
      <c r="AH127" s="5"/>
      <c r="AI127" s="5"/>
      <c r="AJ127" s="5"/>
      <c r="AK127" s="5"/>
      <c r="BK127"/>
      <c r="BX127" s="5">
        <f>BX122/(BX6+BX12)</f>
        <v>2.979554762770965E-2</v>
      </c>
      <c r="BZ127" s="5">
        <v>-8.8442575061233111E-2</v>
      </c>
    </row>
    <row r="128" spans="1:78">
      <c r="A128" s="3"/>
      <c r="B128" s="2" t="s">
        <v>30</v>
      </c>
      <c r="C128" s="2"/>
      <c r="D128" s="2"/>
      <c r="E128" s="2"/>
      <c r="F128" s="2"/>
      <c r="G128" s="82">
        <f t="shared" ref="G128:Z128" si="238">G123/G10</f>
        <v>-0.24242909001225441</v>
      </c>
      <c r="H128" s="82">
        <f t="shared" si="238"/>
        <v>-0.18768218173196941</v>
      </c>
      <c r="I128" s="82">
        <f t="shared" si="238"/>
        <v>-0.18779020485669259</v>
      </c>
      <c r="J128" s="82">
        <f t="shared" si="238"/>
        <v>-0.21588917394406879</v>
      </c>
      <c r="K128" s="82">
        <f t="shared" si="238"/>
        <v>-3.9985192911999465E-2</v>
      </c>
      <c r="L128" s="82">
        <f t="shared" si="238"/>
        <v>-0.19248339984949664</v>
      </c>
      <c r="M128" s="82">
        <f t="shared" si="238"/>
        <v>-0.11289846222347955</v>
      </c>
      <c r="N128" s="82">
        <f t="shared" si="238"/>
        <v>-8.8872627227130283E-2</v>
      </c>
      <c r="O128" s="82">
        <f t="shared" si="238"/>
        <v>-4.8394405927124372E-2</v>
      </c>
      <c r="P128" s="82">
        <f t="shared" si="238"/>
        <v>-9.4731952144732998E-2</v>
      </c>
      <c r="Q128" s="82">
        <f t="shared" si="238"/>
        <v>2.9680122055184874E-2</v>
      </c>
      <c r="R128" s="82">
        <f t="shared" si="238"/>
        <v>-2.4939953396601322E-2</v>
      </c>
      <c r="S128" s="82">
        <f t="shared" si="238"/>
        <v>4.3878010036754296E-2</v>
      </c>
      <c r="T128" s="82">
        <f t="shared" si="238"/>
        <v>9.4385360517424254E-3</v>
      </c>
      <c r="U128" s="82">
        <f t="shared" si="238"/>
        <v>-4.1407544509623848E-2</v>
      </c>
      <c r="V128" s="82">
        <f t="shared" si="238"/>
        <v>-9.7328319337087632E-2</v>
      </c>
      <c r="W128" s="82">
        <f t="shared" si="238"/>
        <v>-3.1930572309979977E-2</v>
      </c>
      <c r="X128" s="82">
        <f t="shared" si="238"/>
        <v>-2.2355404475586364E-2</v>
      </c>
      <c r="Y128" s="82">
        <f t="shared" si="238"/>
        <v>4.7853689142180467E-2</v>
      </c>
      <c r="Z128" s="82">
        <f t="shared" si="238"/>
        <v>-5.2061426324137815E-2</v>
      </c>
      <c r="AA128" s="82">
        <f t="shared" ref="AA128:AB128" si="239">AA123/AA10</f>
        <v>-2.1113024256565145E-2</v>
      </c>
      <c r="AB128" s="82">
        <f t="shared" si="239"/>
        <v>-9.4925607369160392E-3</v>
      </c>
      <c r="AC128" s="82">
        <f t="shared" ref="AC128" si="240">AC123/AC10</f>
        <v>4.3181921864712527E-3</v>
      </c>
      <c r="AD128" s="82">
        <f>AD123/AD10</f>
        <v>-5.5233040382853087E-3</v>
      </c>
      <c r="AE128" s="82">
        <f>AE123/AE10</f>
        <v>-7.5240033969860816E-3</v>
      </c>
      <c r="AF128" s="82">
        <f>AF123/AF10</f>
        <v>1.7938499192469291E-2</v>
      </c>
      <c r="AG128" s="3"/>
      <c r="AH128" s="5"/>
      <c r="AI128" s="5"/>
      <c r="AJ128" s="5"/>
      <c r="AK128" s="5"/>
      <c r="BK128"/>
      <c r="BX128" s="82">
        <f>BX123/BX10</f>
        <v>4.4306170242807549E-3</v>
      </c>
      <c r="BZ128" s="82">
        <v>-1.6879622135977364E-3</v>
      </c>
    </row>
    <row r="129" spans="1:78">
      <c r="A129" s="3"/>
      <c r="B129" s="3" t="s">
        <v>426</v>
      </c>
      <c r="C129" s="3"/>
      <c r="D129" s="3"/>
      <c r="E129" s="3"/>
      <c r="F129" s="3"/>
      <c r="G129" s="5">
        <f t="shared" ref="G129:Z129" si="241">G124/G13</f>
        <v>1.0168813252314205E-2</v>
      </c>
      <c r="H129" s="5">
        <f t="shared" si="241"/>
        <v>2.7167162094516511E-2</v>
      </c>
      <c r="I129" s="5">
        <f t="shared" si="241"/>
        <v>5.7628267882075396E-2</v>
      </c>
      <c r="J129" s="5">
        <f t="shared" si="241"/>
        <v>6.568316667670622E-2</v>
      </c>
      <c r="K129" s="5">
        <f t="shared" si="241"/>
        <v>4.478577668551461E-2</v>
      </c>
      <c r="L129" s="5">
        <f t="shared" si="241"/>
        <v>5.3857193026573075E-2</v>
      </c>
      <c r="M129" s="5">
        <f t="shared" si="241"/>
        <v>8.16170435042161E-2</v>
      </c>
      <c r="N129" s="5">
        <f t="shared" si="241"/>
        <v>0.11819491769651969</v>
      </c>
      <c r="O129" s="5">
        <f t="shared" si="241"/>
        <v>7.4864749392976632E-2</v>
      </c>
      <c r="P129" s="5">
        <f t="shared" si="241"/>
        <v>9.2606741084638886E-2</v>
      </c>
      <c r="Q129" s="5">
        <f t="shared" si="241"/>
        <v>0.1113651166446885</v>
      </c>
      <c r="R129" s="5">
        <f t="shared" si="241"/>
        <v>5.6420861755015837E-2</v>
      </c>
      <c r="S129" s="5">
        <f t="shared" si="241"/>
        <v>9.8296614615788203E-2</v>
      </c>
      <c r="T129" s="5">
        <f t="shared" si="241"/>
        <v>5.5530027856160367E-2</v>
      </c>
      <c r="U129" s="5">
        <f t="shared" si="241"/>
        <v>2.4692910217886017E-2</v>
      </c>
      <c r="V129" s="5">
        <f t="shared" si="241"/>
        <v>-2.7982931998767519E-2</v>
      </c>
      <c r="W129" s="5">
        <f t="shared" si="241"/>
        <v>4.3602385634022349E-2</v>
      </c>
      <c r="X129" s="5">
        <f t="shared" si="241"/>
        <v>4.7184579495987686E-2</v>
      </c>
      <c r="Y129" s="5">
        <f t="shared" si="241"/>
        <v>7.3434093787554375E-2</v>
      </c>
      <c r="Z129" s="5">
        <f t="shared" si="241"/>
        <v>4.1826170716022536E-2</v>
      </c>
      <c r="AA129" s="5">
        <f t="shared" ref="AA129:AB129" si="242">AA124/AA13</f>
        <v>4.0849567999139066E-2</v>
      </c>
      <c r="AB129" s="5">
        <f t="shared" si="242"/>
        <v>4.3141723556650122E-2</v>
      </c>
      <c r="AC129" s="5">
        <f t="shared" ref="AC129" si="243">AC124/AC13</f>
        <v>5.1012673131622346E-2</v>
      </c>
      <c r="AD129" s="5">
        <f>AD124/AD13</f>
        <v>-2.7341243184854248E-2</v>
      </c>
      <c r="AE129" s="5">
        <f>AE124/AE13</f>
        <v>2.5350258445327074E-2</v>
      </c>
      <c r="AF129" s="5">
        <f>AF124/AF13</f>
        <v>3.9623656736405707E-2</v>
      </c>
      <c r="AG129" s="3"/>
      <c r="AH129" s="5"/>
      <c r="AI129" s="5"/>
      <c r="AJ129" s="5"/>
      <c r="AK129" s="5"/>
      <c r="BK129"/>
      <c r="BX129" s="5">
        <f>BX124/BX13</f>
        <v>2.1684032002111074E-2</v>
      </c>
      <c r="BZ129" s="5">
        <v>-5.9318885687709891E-2</v>
      </c>
    </row>
    <row r="130" spans="1:78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87"/>
      <c r="T130" s="87"/>
      <c r="U130" s="87"/>
      <c r="V130" s="3"/>
      <c r="W130" s="87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BK130"/>
    </row>
    <row r="131" spans="1:78">
      <c r="A131" s="3"/>
      <c r="B131" s="3" t="s">
        <v>2743</v>
      </c>
      <c r="C131" s="3"/>
      <c r="D131" s="3"/>
      <c r="E131" s="3"/>
      <c r="F131" s="3"/>
      <c r="G131" s="87">
        <v>1672290</v>
      </c>
      <c r="H131" s="87">
        <v>1729788</v>
      </c>
      <c r="I131" s="87">
        <v>1738390</v>
      </c>
      <c r="J131" s="87">
        <v>1211878</v>
      </c>
      <c r="K131" s="87">
        <v>1237959</v>
      </c>
      <c r="L131" s="87">
        <v>1303816</v>
      </c>
      <c r="M131" s="87">
        <v>1185410</v>
      </c>
      <c r="N131" s="87">
        <v>1156904</v>
      </c>
      <c r="O131" s="87">
        <v>1282322</v>
      </c>
      <c r="P131" s="87">
        <v>1186489</v>
      </c>
      <c r="Q131" s="87">
        <v>1083096</v>
      </c>
      <c r="R131" s="87">
        <v>1299845</v>
      </c>
      <c r="S131" s="266">
        <v>1429800</v>
      </c>
      <c r="T131" s="266">
        <v>1426100</v>
      </c>
      <c r="U131" s="266">
        <v>1528400</v>
      </c>
      <c r="V131" s="266">
        <v>1598400</v>
      </c>
      <c r="W131" s="266">
        <v>1649271</v>
      </c>
      <c r="X131" s="266">
        <v>1749000</v>
      </c>
      <c r="Y131" s="266">
        <v>1592000</v>
      </c>
      <c r="Z131" s="266">
        <v>1147700</v>
      </c>
      <c r="AA131" s="3"/>
      <c r="AB131" s="3"/>
      <c r="AC131" s="3"/>
      <c r="AD131" s="645">
        <f>Master!J101</f>
        <v>1278773.3372754243</v>
      </c>
      <c r="AE131" s="645">
        <f>Master!J101</f>
        <v>1278773.3372754243</v>
      </c>
      <c r="AF131" s="645">
        <f>Master!K101</f>
        <v>1380156.2026382182</v>
      </c>
      <c r="AG131" s="3"/>
      <c r="AH131" s="87"/>
      <c r="AI131" s="87"/>
      <c r="AJ131" s="87"/>
      <c r="AK131" s="87"/>
      <c r="AL131" s="87"/>
      <c r="BK131"/>
      <c r="BX131" s="584">
        <v>1600000</v>
      </c>
      <c r="BZ131" s="584">
        <v>1776235.7318918556</v>
      </c>
    </row>
    <row r="132" spans="1:78">
      <c r="A132" s="3"/>
      <c r="B132" s="3" t="s">
        <v>2525</v>
      </c>
      <c r="C132" s="3"/>
      <c r="D132" s="3"/>
      <c r="E132" s="3"/>
      <c r="F132" s="3"/>
      <c r="G132" s="87"/>
      <c r="H132" s="87"/>
      <c r="I132" s="87"/>
      <c r="J132" s="87">
        <v>1713766</v>
      </c>
      <c r="K132" s="87">
        <v>1781283</v>
      </c>
      <c r="L132" s="87">
        <v>1835634</v>
      </c>
      <c r="M132" s="87">
        <v>1705562</v>
      </c>
      <c r="N132" s="87">
        <v>1661131</v>
      </c>
      <c r="O132" s="87">
        <v>1778996</v>
      </c>
      <c r="P132" s="87">
        <v>1669974</v>
      </c>
      <c r="Q132" s="87">
        <v>1614197</v>
      </c>
      <c r="R132" s="87">
        <v>1891262</v>
      </c>
      <c r="S132" s="266">
        <v>2001600</v>
      </c>
      <c r="T132" s="266">
        <v>2036000</v>
      </c>
      <c r="U132" s="266">
        <v>2142600</v>
      </c>
      <c r="V132" s="266">
        <v>1911200</v>
      </c>
      <c r="W132" s="266">
        <v>2227500</v>
      </c>
      <c r="X132" s="266">
        <v>2329100</v>
      </c>
      <c r="Y132" s="266">
        <f>Y131+127357+474698</f>
        <v>2194055</v>
      </c>
      <c r="Z132" s="266">
        <f>Z131+120980+471903</f>
        <v>1740583</v>
      </c>
      <c r="AA132" s="3"/>
      <c r="AB132" s="3"/>
      <c r="AC132" s="3"/>
      <c r="AD132" s="645">
        <f>Master!J106</f>
        <v>1871656.3082754244</v>
      </c>
      <c r="AE132" s="645">
        <f>Master!J106</f>
        <v>1871656.3082754244</v>
      </c>
      <c r="AF132" s="645">
        <f>Master!K106</f>
        <v>1973039.1736382181</v>
      </c>
      <c r="AG132" s="3"/>
      <c r="AH132" s="87"/>
      <c r="AI132" s="87"/>
      <c r="AJ132" s="87"/>
      <c r="AK132" s="87"/>
      <c r="AL132" s="87"/>
      <c r="BK132"/>
      <c r="BX132" s="584">
        <v>2000000</v>
      </c>
      <c r="BZ132" s="584">
        <v>2089035.7318918556</v>
      </c>
    </row>
    <row r="133" spans="1:78">
      <c r="A133" s="3"/>
      <c r="B133" s="3" t="s">
        <v>378</v>
      </c>
      <c r="C133" s="3"/>
      <c r="D133" s="3"/>
      <c r="E133" s="3"/>
      <c r="F133" s="3"/>
      <c r="G133" s="87"/>
      <c r="H133" s="87"/>
      <c r="I133" s="87"/>
      <c r="J133" s="87">
        <f>J131-I131</f>
        <v>-526512</v>
      </c>
      <c r="K133" s="87"/>
      <c r="L133" s="87"/>
      <c r="M133" s="87"/>
      <c r="N133" s="87"/>
      <c r="O133" s="87"/>
      <c r="P133" s="87"/>
      <c r="Q133" s="87"/>
      <c r="R133" s="87"/>
      <c r="S133" s="87"/>
      <c r="T133" s="87">
        <f>T132-T131</f>
        <v>609900</v>
      </c>
      <c r="U133" s="87">
        <f t="shared" ref="U133:AC133" si="244">U132-U131</f>
        <v>614200</v>
      </c>
      <c r="V133" s="87">
        <f t="shared" si="244"/>
        <v>312800</v>
      </c>
      <c r="W133" s="87">
        <f t="shared" si="244"/>
        <v>578229</v>
      </c>
      <c r="X133" s="87">
        <f t="shared" si="244"/>
        <v>580100</v>
      </c>
      <c r="Y133" s="87">
        <f t="shared" si="244"/>
        <v>602055</v>
      </c>
      <c r="Z133" s="87">
        <f t="shared" si="244"/>
        <v>592883</v>
      </c>
      <c r="AA133" s="87">
        <f t="shared" si="244"/>
        <v>0</v>
      </c>
      <c r="AB133" s="87">
        <f t="shared" si="244"/>
        <v>0</v>
      </c>
      <c r="AC133" s="87">
        <f t="shared" si="244"/>
        <v>0</v>
      </c>
      <c r="AD133" s="87"/>
      <c r="AE133" s="87"/>
      <c r="AF133" s="87"/>
      <c r="AG133" s="3"/>
      <c r="AH133" s="87"/>
      <c r="AI133" s="87"/>
      <c r="AJ133" s="87"/>
      <c r="AK133" s="87"/>
      <c r="BK133"/>
      <c r="BX133" s="87"/>
      <c r="BZ133" s="87"/>
    </row>
    <row r="134" spans="1:78">
      <c r="A134" s="3"/>
      <c r="B134" s="3" t="s">
        <v>2562</v>
      </c>
      <c r="C134" s="3"/>
      <c r="D134" s="3"/>
      <c r="E134" s="3"/>
      <c r="F134" s="3"/>
      <c r="G134" s="87"/>
      <c r="H134" s="87"/>
      <c r="I134" s="87"/>
      <c r="J134" s="87">
        <f>J133+(J160-J161)</f>
        <v>-280962</v>
      </c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3"/>
      <c r="AB134" s="3"/>
      <c r="AC134" s="3"/>
      <c r="AD134" s="87"/>
      <c r="AE134" s="87"/>
      <c r="AF134" s="87"/>
      <c r="AG134" s="3"/>
      <c r="AH134" s="87"/>
      <c r="AI134" s="87"/>
      <c r="AJ134" s="87"/>
      <c r="AK134" s="87"/>
      <c r="BK134"/>
      <c r="BX134" s="87"/>
      <c r="BZ134" s="87"/>
    </row>
    <row r="135" spans="1:78">
      <c r="A135" s="3"/>
      <c r="B135" s="3"/>
      <c r="C135" s="3"/>
      <c r="D135" s="3"/>
      <c r="E135" s="3"/>
      <c r="F135" s="3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3"/>
      <c r="AB135" s="3"/>
      <c r="AC135" s="3"/>
      <c r="AD135" s="87"/>
      <c r="AE135" s="87"/>
      <c r="AF135" s="87"/>
      <c r="AG135" s="3"/>
      <c r="AH135" s="87"/>
      <c r="AI135" s="87"/>
      <c r="AJ135" s="87"/>
      <c r="AK135" s="87"/>
      <c r="BK135"/>
      <c r="BX135" s="87"/>
      <c r="BZ135" s="87"/>
    </row>
    <row r="136" spans="1:78">
      <c r="A136" s="3"/>
      <c r="B136" s="3" t="s">
        <v>3032</v>
      </c>
      <c r="C136" s="3"/>
      <c r="D136" s="3"/>
      <c r="E136" s="3"/>
      <c r="F136" s="3"/>
      <c r="G136" s="87">
        <v>1777798</v>
      </c>
      <c r="H136" s="87">
        <v>1813852</v>
      </c>
      <c r="I136" s="87">
        <v>1900254</v>
      </c>
      <c r="J136" s="87">
        <v>1987094</v>
      </c>
      <c r="K136" s="87">
        <v>1957223</v>
      </c>
      <c r="L136" s="87">
        <v>2078874</v>
      </c>
      <c r="M136" s="87">
        <v>2015540</v>
      </c>
      <c r="N136" s="87">
        <v>2018413</v>
      </c>
      <c r="O136" s="87">
        <v>1973991</v>
      </c>
      <c r="P136" s="87">
        <v>1929317</v>
      </c>
      <c r="Q136" s="87">
        <v>1934707</v>
      </c>
      <c r="R136" s="87">
        <v>2126587</v>
      </c>
      <c r="S136" s="266">
        <v>2059600</v>
      </c>
      <c r="T136" s="266">
        <v>2373600</v>
      </c>
      <c r="U136" s="266">
        <v>2467500</v>
      </c>
      <c r="V136" s="266">
        <v>2130800</v>
      </c>
      <c r="W136" s="266">
        <v>2118008</v>
      </c>
      <c r="X136" s="266">
        <v>2160000</v>
      </c>
      <c r="Y136" s="266">
        <v>2216000</v>
      </c>
      <c r="Z136" s="266">
        <v>2062000</v>
      </c>
      <c r="AA136" s="3"/>
      <c r="AB136" s="3"/>
      <c r="AC136" s="3"/>
      <c r="AD136" s="87">
        <f>AD137+AD131</f>
        <v>1809635.3372754243</v>
      </c>
      <c r="AE136" s="87">
        <f>AE137+AE131</f>
        <v>1809635.3372754243</v>
      </c>
      <c r="AF136" s="87">
        <f>AF137+AF131</f>
        <v>1911018.2026382182</v>
      </c>
      <c r="AG136" s="3"/>
      <c r="AH136" s="87"/>
      <c r="AI136" s="87"/>
      <c r="AJ136" s="87"/>
      <c r="AK136" s="87"/>
      <c r="BK136"/>
      <c r="BX136" s="87">
        <f>BX137+BX131</f>
        <v>1600000</v>
      </c>
      <c r="BZ136" s="87">
        <v>1962778.0318918556</v>
      </c>
    </row>
    <row r="137" spans="1:78">
      <c r="A137" s="3"/>
      <c r="B137" s="3" t="s">
        <v>1709</v>
      </c>
      <c r="C137" s="3"/>
      <c r="D137" s="3"/>
      <c r="E137" s="3"/>
      <c r="F137" s="3"/>
      <c r="G137" s="87">
        <f t="shared" ref="G137:U137" si="245">G136-G131</f>
        <v>105508</v>
      </c>
      <c r="H137" s="87">
        <f t="shared" si="245"/>
        <v>84064</v>
      </c>
      <c r="I137" s="87">
        <f t="shared" si="245"/>
        <v>161864</v>
      </c>
      <c r="J137" s="87">
        <f t="shared" si="245"/>
        <v>775216</v>
      </c>
      <c r="K137" s="87">
        <f t="shared" si="245"/>
        <v>719264</v>
      </c>
      <c r="L137" s="87">
        <f t="shared" si="245"/>
        <v>775058</v>
      </c>
      <c r="M137" s="87">
        <f t="shared" si="245"/>
        <v>830130</v>
      </c>
      <c r="N137" s="87">
        <f t="shared" si="245"/>
        <v>861509</v>
      </c>
      <c r="O137" s="87">
        <f t="shared" si="245"/>
        <v>691669</v>
      </c>
      <c r="P137" s="87">
        <f t="shared" si="245"/>
        <v>742828</v>
      </c>
      <c r="Q137" s="87">
        <f t="shared" si="245"/>
        <v>851611</v>
      </c>
      <c r="R137" s="87">
        <f t="shared" si="245"/>
        <v>826742</v>
      </c>
      <c r="S137" s="87">
        <f t="shared" si="245"/>
        <v>629800</v>
      </c>
      <c r="T137" s="87">
        <f t="shared" si="245"/>
        <v>947500</v>
      </c>
      <c r="U137" s="87">
        <f t="shared" si="245"/>
        <v>939100</v>
      </c>
      <c r="V137" s="87">
        <f t="shared" ref="V137:Z137" si="246">V136-V131</f>
        <v>532400</v>
      </c>
      <c r="W137" s="87">
        <f t="shared" si="246"/>
        <v>468737</v>
      </c>
      <c r="X137" s="87">
        <f t="shared" si="246"/>
        <v>411000</v>
      </c>
      <c r="Y137" s="87">
        <f t="shared" si="246"/>
        <v>624000</v>
      </c>
      <c r="Z137" s="87">
        <f t="shared" si="246"/>
        <v>914300</v>
      </c>
      <c r="AA137" s="3"/>
      <c r="AB137" s="3"/>
      <c r="AC137" s="3"/>
      <c r="AD137" s="645">
        <f>Master!J218</f>
        <v>530862</v>
      </c>
      <c r="AE137" s="645">
        <f>Master!J218</f>
        <v>530862</v>
      </c>
      <c r="AF137" s="645">
        <f>Master!K218</f>
        <v>530862</v>
      </c>
      <c r="AG137" s="3"/>
      <c r="AH137" s="87"/>
      <c r="AI137" s="87"/>
      <c r="AJ137" s="87"/>
      <c r="AK137" s="87"/>
      <c r="BK137"/>
      <c r="BX137" s="457"/>
      <c r="BZ137" s="584">
        <v>186542.3</v>
      </c>
    </row>
    <row r="138" spans="1:78">
      <c r="A138" s="3"/>
      <c r="B138" s="3" t="s">
        <v>2744</v>
      </c>
      <c r="C138" s="3"/>
      <c r="D138" s="3"/>
      <c r="E138" s="3"/>
      <c r="F138" s="465"/>
      <c r="G138" s="465"/>
      <c r="H138" s="465"/>
      <c r="I138" s="465"/>
      <c r="J138" s="465">
        <f t="shared" ref="J138:AD138" si="247">J131/SUM(G95:J95)</f>
        <v>2.4720297978932595</v>
      </c>
      <c r="K138" s="465">
        <f t="shared" si="247"/>
        <v>2.4561314053981129</v>
      </c>
      <c r="L138" s="465">
        <f t="shared" si="247"/>
        <v>2.5705492564267871</v>
      </c>
      <c r="M138" s="465">
        <f t="shared" si="247"/>
        <v>2.3227575017733066</v>
      </c>
      <c r="N138" s="465">
        <f t="shared" si="247"/>
        <v>2.1759813418097691</v>
      </c>
      <c r="O138" s="465">
        <f t="shared" si="247"/>
        <v>2.3592912864292024</v>
      </c>
      <c r="P138" s="465">
        <f t="shared" si="247"/>
        <v>2.0173684022600176</v>
      </c>
      <c r="Q138" s="465">
        <f t="shared" si="247"/>
        <v>1.711325187747176</v>
      </c>
      <c r="R138" s="465">
        <f t="shared" si="247"/>
        <v>1.9995400509482026</v>
      </c>
      <c r="S138" s="465">
        <f t="shared" si="247"/>
        <v>2.112220387107449</v>
      </c>
      <c r="T138" s="465">
        <f t="shared" si="247"/>
        <v>2.0989220598018381</v>
      </c>
      <c r="U138" s="465">
        <f t="shared" si="247"/>
        <v>2.3517138553243608</v>
      </c>
      <c r="V138" s="465">
        <f t="shared" si="247"/>
        <v>2.6043516656836259</v>
      </c>
      <c r="W138" s="465">
        <f t="shared" si="247"/>
        <v>2.8349534088623716</v>
      </c>
      <c r="X138" s="465">
        <f t="shared" si="247"/>
        <v>3.0586815665905931</v>
      </c>
      <c r="Y138" s="465">
        <f t="shared" si="247"/>
        <v>2.7405325102554787</v>
      </c>
      <c r="Z138" s="465">
        <f t="shared" si="247"/>
        <v>1.8883415435139572</v>
      </c>
      <c r="AA138" s="465">
        <f t="shared" si="247"/>
        <v>0</v>
      </c>
      <c r="AB138" s="465">
        <f t="shared" si="247"/>
        <v>0</v>
      </c>
      <c r="AC138" s="465">
        <f t="shared" si="247"/>
        <v>0</v>
      </c>
      <c r="AD138" s="465">
        <f t="shared" si="247"/>
        <v>2.1252088994582303</v>
      </c>
      <c r="AE138" s="465">
        <f>AE131/SUM(AE95)</f>
        <v>2.1252088994582303</v>
      </c>
      <c r="AF138" s="465">
        <f>AF131/SUM(AF95)</f>
        <v>2.1954488569986963</v>
      </c>
      <c r="AG138" s="3"/>
      <c r="AH138" s="465"/>
      <c r="AI138" s="465"/>
      <c r="AJ138" s="465"/>
      <c r="AK138" s="465"/>
      <c r="BK138"/>
      <c r="BX138" s="465">
        <f>BX131/SUM(P95:BX95)</f>
        <v>0.43222052102229042</v>
      </c>
      <c r="BZ138" s="465"/>
    </row>
    <row r="139" spans="1:78">
      <c r="A139" s="3"/>
      <c r="B139" s="3" t="s">
        <v>2745</v>
      </c>
      <c r="C139" s="3"/>
      <c r="D139" s="3"/>
      <c r="E139" s="3"/>
      <c r="F139" s="465"/>
      <c r="G139" s="465"/>
      <c r="H139" s="465"/>
      <c r="I139" s="465"/>
      <c r="J139" s="465">
        <f t="shared" ref="J139:W139" si="248">J132/SUM(G64:J64)</f>
        <v>2.9888104863322602</v>
      </c>
      <c r="K139" s="465">
        <f t="shared" si="248"/>
        <v>2.9963413772569916</v>
      </c>
      <c r="L139" s="465">
        <f t="shared" si="248"/>
        <v>3.0308194750815645</v>
      </c>
      <c r="M139" s="465">
        <f t="shared" si="248"/>
        <v>2.7691201158588261</v>
      </c>
      <c r="N139" s="465">
        <f t="shared" si="248"/>
        <v>2.5864524798246147</v>
      </c>
      <c r="O139" s="465">
        <f t="shared" si="248"/>
        <v>2.6916027554569757</v>
      </c>
      <c r="P139" s="465">
        <f t="shared" si="248"/>
        <v>2.3649835369091874</v>
      </c>
      <c r="Q139" s="465">
        <f t="shared" si="248"/>
        <v>2.1453859894418423</v>
      </c>
      <c r="R139" s="465">
        <f t="shared" si="248"/>
        <v>2.4508625426346944</v>
      </c>
      <c r="S139" s="465">
        <f t="shared" si="248"/>
        <v>2.5325104192762304</v>
      </c>
      <c r="T139" s="465">
        <f t="shared" si="248"/>
        <v>2.5534455210609091</v>
      </c>
      <c r="U139" s="465">
        <f t="shared" si="248"/>
        <v>2.7743643862045748</v>
      </c>
      <c r="V139" s="465">
        <f t="shared" si="248"/>
        <v>2.5530118647192248</v>
      </c>
      <c r="W139" s="465">
        <f t="shared" si="248"/>
        <v>3.0700001378226776</v>
      </c>
      <c r="X139" s="465">
        <f t="shared" ref="X139" si="249">X132/SUM(U64:X64)</f>
        <v>3.2447395403784856</v>
      </c>
      <c r="Y139" s="465">
        <f t="shared" ref="Y139" si="250">Y132/SUM(V64:Y64)</f>
        <v>3.0093143763167136</v>
      </c>
      <c r="Z139" s="465">
        <f t="shared" ref="Z139:AD139" si="251">Z132/SUM(W64:Z64)</f>
        <v>2.3164841161048191</v>
      </c>
      <c r="AA139" s="465">
        <f t="shared" si="251"/>
        <v>0</v>
      </c>
      <c r="AB139" s="465">
        <f t="shared" si="251"/>
        <v>0</v>
      </c>
      <c r="AC139" s="465">
        <f t="shared" si="251"/>
        <v>0</v>
      </c>
      <c r="AD139" s="465">
        <f t="shared" si="251"/>
        <v>2.4872345930438851</v>
      </c>
      <c r="AE139" s="465">
        <f>AE132/SUM(AE64)</f>
        <v>2.4872345930438851</v>
      </c>
      <c r="AF139" s="465">
        <f>AF132/SUM(AF64)</f>
        <v>2.507127457471984</v>
      </c>
      <c r="AG139" s="3"/>
      <c r="AH139" s="465"/>
      <c r="AI139" s="465"/>
      <c r="AJ139" s="465"/>
      <c r="AK139" s="465"/>
      <c r="BK139"/>
      <c r="BX139" s="465">
        <f>BX132/SUM(S64:BX64)</f>
        <v>0.50449748603459821</v>
      </c>
      <c r="BZ139" s="465"/>
    </row>
    <row r="140" spans="1:78">
      <c r="A140" s="3"/>
      <c r="B140" s="3"/>
      <c r="C140" s="3"/>
      <c r="D140" s="3"/>
      <c r="E140" s="3"/>
      <c r="F140" s="465"/>
      <c r="G140" s="465"/>
      <c r="H140" s="465"/>
      <c r="I140" s="465"/>
      <c r="J140" s="465"/>
      <c r="K140" s="465"/>
      <c r="L140" s="465"/>
      <c r="M140" s="465"/>
      <c r="N140" s="465"/>
      <c r="O140" s="465"/>
      <c r="P140" s="465"/>
      <c r="Q140" s="465">
        <f>(Q132+Master!G95)/SUM(N64:Q64)</f>
        <v>2.4799137165671632</v>
      </c>
      <c r="R140" s="465">
        <f t="shared" ref="R140:W140" si="252">(R132)/SUM(O64:R64)</f>
        <v>2.4508625426346944</v>
      </c>
      <c r="S140" s="465">
        <f t="shared" si="252"/>
        <v>2.5325104192762304</v>
      </c>
      <c r="T140" s="465">
        <f t="shared" si="252"/>
        <v>2.5534455210609091</v>
      </c>
      <c r="U140" s="465">
        <f t="shared" si="252"/>
        <v>2.7743643862045748</v>
      </c>
      <c r="V140" s="465">
        <f t="shared" si="252"/>
        <v>2.5530118647192248</v>
      </c>
      <c r="W140" s="465">
        <f t="shared" si="252"/>
        <v>3.0700001378226776</v>
      </c>
      <c r="X140" s="465">
        <f t="shared" ref="X140" si="253">(X132)/SUM(U64:X64)</f>
        <v>3.2447395403784856</v>
      </c>
      <c r="Y140" s="465">
        <f t="shared" ref="Y140" si="254">(Y132)/SUM(V64:Y64)</f>
        <v>3.0093143763167136</v>
      </c>
      <c r="Z140" s="465">
        <f t="shared" ref="Z140:AD140" si="255">(Z132)/SUM(W64:Z64)</f>
        <v>2.3164841161048191</v>
      </c>
      <c r="AA140" s="465">
        <f t="shared" si="255"/>
        <v>0</v>
      </c>
      <c r="AB140" s="465">
        <f t="shared" si="255"/>
        <v>0</v>
      </c>
      <c r="AC140" s="465">
        <f t="shared" si="255"/>
        <v>0</v>
      </c>
      <c r="AD140" s="465">
        <f t="shared" si="255"/>
        <v>2.4872345930438851</v>
      </c>
      <c r="AE140" s="465">
        <f>(AE132)/SUM(AE64)</f>
        <v>2.4872345930438851</v>
      </c>
      <c r="AF140" s="465">
        <f>(AF132)/SUM(AF64)</f>
        <v>2.507127457471984</v>
      </c>
      <c r="AG140" s="3"/>
      <c r="AH140" s="465"/>
      <c r="AI140" s="465"/>
      <c r="AJ140" s="465"/>
      <c r="AK140" s="465"/>
      <c r="BK140"/>
      <c r="BX140" s="465">
        <f>(BX132)/SUM(S64:BX64)</f>
        <v>0.50449748603459821</v>
      </c>
      <c r="BZ140" s="465"/>
    </row>
    <row r="141" spans="1:78">
      <c r="A141" s="3"/>
      <c r="B141" s="3"/>
      <c r="C141" s="3"/>
      <c r="D141" s="3"/>
      <c r="E141" s="3"/>
      <c r="F141" s="465"/>
      <c r="G141" s="465"/>
      <c r="H141" s="465"/>
      <c r="I141" s="465"/>
      <c r="J141" s="465">
        <f t="shared" ref="J141:AD141" si="256">J131/SUM(G42:J42)</f>
        <v>1.5730279032879853</v>
      </c>
      <c r="K141" s="465">
        <f t="shared" si="256"/>
        <v>1.5372586467453866</v>
      </c>
      <c r="L141" s="465">
        <f t="shared" si="256"/>
        <v>1.568457053218377</v>
      </c>
      <c r="M141" s="465">
        <f t="shared" si="256"/>
        <v>1.397001198530651</v>
      </c>
      <c r="N141" s="465">
        <f t="shared" si="256"/>
        <v>1.6908090980969877</v>
      </c>
      <c r="O141" s="465">
        <f t="shared" si="256"/>
        <v>1.8607811867409825</v>
      </c>
      <c r="P141" s="465">
        <f t="shared" si="256"/>
        <v>1.6257438549327019</v>
      </c>
      <c r="Q141" s="465">
        <f t="shared" si="256"/>
        <v>1.4082788535051722</v>
      </c>
      <c r="R141" s="465">
        <f t="shared" si="256"/>
        <v>1.6827496300745806</v>
      </c>
      <c r="S141" s="465">
        <f t="shared" si="256"/>
        <v>1.82269457436678</v>
      </c>
      <c r="T141" s="465">
        <f t="shared" si="256"/>
        <v>1.1256299652310497</v>
      </c>
      <c r="U141" s="465">
        <f t="shared" si="256"/>
        <v>1.1791635838734489</v>
      </c>
      <c r="V141" s="465">
        <f t="shared" si="256"/>
        <v>1.2467892291263818</v>
      </c>
      <c r="W141" s="465">
        <f t="shared" si="256"/>
        <v>1.3468395303087095</v>
      </c>
      <c r="X141" s="465">
        <f t="shared" si="256"/>
        <v>2.392655409740529</v>
      </c>
      <c r="Y141" s="465">
        <f t="shared" si="256"/>
        <v>2.3140880283737428</v>
      </c>
      <c r="Z141" s="465">
        <f t="shared" si="256"/>
        <v>1.5050579493864105</v>
      </c>
      <c r="AA141" s="465">
        <f t="shared" si="256"/>
        <v>0</v>
      </c>
      <c r="AB141" s="465">
        <f t="shared" si="256"/>
        <v>0</v>
      </c>
      <c r="AC141" s="465">
        <f t="shared" si="256"/>
        <v>0</v>
      </c>
      <c r="AD141" s="465">
        <f t="shared" si="256"/>
        <v>1.6993554142770355</v>
      </c>
      <c r="AE141" s="465">
        <f>AE131/SUM(AE42)</f>
        <v>1.6993554142770355</v>
      </c>
      <c r="AF141" s="465">
        <f>AF131/SUM(AF42)</f>
        <v>1.7537550989694748</v>
      </c>
      <c r="AG141" s="3"/>
      <c r="AH141" s="465"/>
      <c r="AI141" s="465"/>
      <c r="AJ141" s="465"/>
      <c r="AK141" s="465"/>
      <c r="BK141"/>
      <c r="BX141" s="465">
        <f>BX131/SUM(P42:BX42)</f>
        <v>0.31349346697709901</v>
      </c>
      <c r="BZ141" s="465"/>
    </row>
    <row r="142" spans="1:78">
      <c r="A142" s="3"/>
      <c r="B142" s="3" t="s">
        <v>2798</v>
      </c>
      <c r="C142" s="3"/>
      <c r="D142" s="3"/>
      <c r="E142" s="3"/>
      <c r="F142" s="469">
        <v>3.84</v>
      </c>
      <c r="G142" s="469">
        <v>3.59</v>
      </c>
      <c r="H142" s="469">
        <v>3.4</v>
      </c>
      <c r="I142" s="469">
        <v>3.17</v>
      </c>
      <c r="J142" s="469">
        <v>1.57</v>
      </c>
      <c r="K142" s="469">
        <v>1.54</v>
      </c>
      <c r="L142" s="469">
        <v>1.57</v>
      </c>
      <c r="M142" s="469">
        <v>1.4</v>
      </c>
      <c r="N142" s="469">
        <v>1.69</v>
      </c>
      <c r="O142" s="469">
        <v>1.86</v>
      </c>
      <c r="P142" s="469">
        <v>1.63</v>
      </c>
      <c r="Q142" s="469">
        <v>1.41</v>
      </c>
      <c r="R142" s="469">
        <v>1.68</v>
      </c>
      <c r="S142" s="469">
        <v>1.82</v>
      </c>
      <c r="T142" s="469">
        <v>1.1299999999999999</v>
      </c>
      <c r="U142" s="469">
        <v>1.18</v>
      </c>
      <c r="V142" s="469">
        <v>1.18</v>
      </c>
      <c r="W142" s="465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BK142"/>
    </row>
    <row r="143" spans="1:78">
      <c r="A143" s="3"/>
      <c r="B143" s="3" t="s">
        <v>2558</v>
      </c>
      <c r="C143" s="3"/>
      <c r="D143" s="3"/>
      <c r="E143" s="3"/>
      <c r="F143" s="469">
        <v>3.84</v>
      </c>
      <c r="G143" s="469">
        <v>3.75</v>
      </c>
      <c r="H143" s="469">
        <v>3.69</v>
      </c>
      <c r="I143" s="469">
        <v>3.56</v>
      </c>
      <c r="J143" s="469">
        <v>1.76</v>
      </c>
      <c r="K143" s="465"/>
      <c r="L143" s="465"/>
      <c r="M143" s="465"/>
      <c r="N143" s="465"/>
      <c r="O143" s="465"/>
      <c r="P143" s="465"/>
      <c r="Q143" s="465"/>
      <c r="R143" s="465"/>
      <c r="S143" s="465"/>
      <c r="T143" s="465"/>
      <c r="U143" s="465"/>
      <c r="V143" s="465"/>
      <c r="W143" s="465"/>
      <c r="X143" s="465"/>
      <c r="Y143" s="465"/>
      <c r="Z143" s="465"/>
      <c r="AA143" s="3"/>
      <c r="AB143" s="3"/>
      <c r="AC143" s="3"/>
      <c r="AD143" s="465"/>
      <c r="AE143" s="465"/>
      <c r="AF143" s="465"/>
      <c r="AG143" s="3"/>
      <c r="AH143" s="465"/>
      <c r="AI143" s="465"/>
      <c r="AJ143" s="465"/>
      <c r="AK143" s="465"/>
      <c r="BK143"/>
      <c r="BX143" s="465"/>
      <c r="BZ143" s="465"/>
    </row>
    <row r="144" spans="1:78">
      <c r="A144" s="3"/>
      <c r="B144" s="3" t="s">
        <v>2559</v>
      </c>
      <c r="C144" s="3"/>
      <c r="D144" s="3"/>
      <c r="E144" s="3"/>
      <c r="F144" s="465"/>
      <c r="G144" s="465">
        <f>G142-G143</f>
        <v>-0.16000000000000014</v>
      </c>
      <c r="H144" s="465">
        <f>H142-H143</f>
        <v>-0.29000000000000004</v>
      </c>
      <c r="I144" s="465">
        <f>I142-I143</f>
        <v>-0.39000000000000012</v>
      </c>
      <c r="J144" s="465">
        <f>J142-J143</f>
        <v>-0.18999999999999995</v>
      </c>
      <c r="K144" s="465"/>
      <c r="L144" s="465"/>
      <c r="M144" s="465"/>
      <c r="N144" s="465"/>
      <c r="O144" s="465"/>
      <c r="P144" s="465"/>
      <c r="Q144" s="465"/>
      <c r="R144" s="465"/>
      <c r="S144" s="465"/>
      <c r="T144" s="465"/>
      <c r="U144" s="465"/>
      <c r="V144" s="465"/>
      <c r="W144" s="465"/>
      <c r="X144" s="465"/>
      <c r="Y144" s="465"/>
      <c r="Z144" s="465"/>
      <c r="AA144" s="3"/>
      <c r="AB144" s="3"/>
      <c r="AC144" s="3"/>
      <c r="AD144" s="465"/>
      <c r="AE144" s="465"/>
      <c r="AF144" s="465"/>
      <c r="AG144" s="3"/>
      <c r="AH144" s="465"/>
      <c r="AI144" s="465"/>
      <c r="AJ144" s="465"/>
      <c r="AK144" s="465"/>
      <c r="BK144"/>
      <c r="BX144" s="465"/>
      <c r="BZ144" s="465"/>
    </row>
    <row r="145" spans="1:78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BK145"/>
    </row>
    <row r="146" spans="1:78">
      <c r="A146" s="3"/>
      <c r="B146" s="3" t="s">
        <v>2553</v>
      </c>
      <c r="C146" s="3"/>
      <c r="D146" s="3"/>
      <c r="E146" s="3"/>
      <c r="F146" s="3"/>
      <c r="G146" s="87">
        <v>102088</v>
      </c>
      <c r="H146" s="87">
        <v>104763</v>
      </c>
      <c r="I146" s="87">
        <v>108226</v>
      </c>
      <c r="J146" s="87">
        <v>111417</v>
      </c>
      <c r="K146" s="87">
        <f>234184-L146</f>
        <v>116597</v>
      </c>
      <c r="L146" s="87">
        <v>117587</v>
      </c>
      <c r="M146" s="87">
        <v>118073</v>
      </c>
      <c r="N146" s="87">
        <v>119506</v>
      </c>
      <c r="O146" s="87">
        <f>231725-P146</f>
        <v>116113</v>
      </c>
      <c r="P146" s="87">
        <v>115612</v>
      </c>
      <c r="Q146" s="87">
        <v>118168</v>
      </c>
      <c r="R146" s="87">
        <v>128184</v>
      </c>
      <c r="S146" s="266">
        <v>123409</v>
      </c>
      <c r="T146" s="266">
        <v>140274</v>
      </c>
      <c r="U146" s="266">
        <f>390008-S146-T146</f>
        <v>126325</v>
      </c>
      <c r="V146" s="266">
        <f>518018-S146-T146-U146</f>
        <v>128010</v>
      </c>
      <c r="W146" s="266">
        <f>132123-6431</f>
        <v>125692</v>
      </c>
      <c r="X146" s="266">
        <v>126771</v>
      </c>
      <c r="Y146" s="266">
        <v>129595</v>
      </c>
      <c r="Z146" s="266">
        <v>130935</v>
      </c>
      <c r="AA146" s="457">
        <v>124000</v>
      </c>
      <c r="AB146" s="457">
        <v>124000</v>
      </c>
      <c r="AC146" s="457">
        <v>124000</v>
      </c>
      <c r="AD146" s="645">
        <f>Master!J61-'New Ints'!AA146-'New Ints'!AB146-'New Ints'!AC146</f>
        <v>126946.39403229806</v>
      </c>
      <c r="AE146" s="645">
        <f>Master!J61</f>
        <v>498946.39403229806</v>
      </c>
      <c r="AF146" s="645">
        <f>Master!K61</f>
        <v>511858.91798116866</v>
      </c>
      <c r="AG146" s="3"/>
      <c r="AH146" s="87"/>
      <c r="AI146" s="87"/>
      <c r="AJ146" s="87"/>
      <c r="AK146" s="87"/>
      <c r="BK146"/>
      <c r="BX146" s="457">
        <v>126250</v>
      </c>
      <c r="BZ146" s="584">
        <v>219374.79307128588</v>
      </c>
    </row>
    <row r="147" spans="1:78">
      <c r="A147" s="3"/>
      <c r="B147" s="3" t="s">
        <v>2554</v>
      </c>
      <c r="C147" s="3"/>
      <c r="D147" s="3"/>
      <c r="E147" s="3"/>
      <c r="F147" s="3"/>
      <c r="G147" s="87">
        <v>84425</v>
      </c>
      <c r="H147" s="87">
        <v>86118</v>
      </c>
      <c r="I147" s="87">
        <v>88955</v>
      </c>
      <c r="J147" s="87">
        <v>98193</v>
      </c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3"/>
      <c r="AB147" s="3"/>
      <c r="AC147" s="3"/>
      <c r="AD147" s="87"/>
      <c r="AE147" s="87"/>
      <c r="AF147" s="87"/>
      <c r="AG147" s="3"/>
      <c r="AH147" s="87"/>
      <c r="AI147" s="87"/>
      <c r="AJ147" s="87"/>
      <c r="AK147" s="87"/>
      <c r="BK147"/>
      <c r="BX147" s="87"/>
      <c r="BZ147" s="87"/>
    </row>
    <row r="148" spans="1:78">
      <c r="A148" s="3"/>
      <c r="B148" s="3" t="s">
        <v>2555</v>
      </c>
      <c r="C148" s="3"/>
      <c r="D148" s="3"/>
      <c r="E148" s="3"/>
      <c r="F148" s="3"/>
      <c r="G148" s="87">
        <f>G146-G147</f>
        <v>17663</v>
      </c>
      <c r="H148" s="87">
        <f>H146-H147</f>
        <v>18645</v>
      </c>
      <c r="I148" s="87">
        <f>I146-I147</f>
        <v>19271</v>
      </c>
      <c r="J148" s="87">
        <f>J146-J147</f>
        <v>13224</v>
      </c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3"/>
      <c r="AB148" s="3"/>
      <c r="AC148" s="3"/>
      <c r="AD148" s="87"/>
      <c r="AE148" s="87"/>
      <c r="AF148" s="87"/>
      <c r="AG148" s="3"/>
      <c r="AH148" s="87"/>
      <c r="AI148" s="87"/>
      <c r="AJ148" s="87"/>
      <c r="AK148" s="87"/>
      <c r="BK148"/>
      <c r="BX148" s="87"/>
      <c r="BZ148" s="87"/>
    </row>
    <row r="149" spans="1:78">
      <c r="A149" s="3"/>
      <c r="B149" s="3"/>
      <c r="C149" s="3"/>
      <c r="D149" s="3"/>
      <c r="E149" s="3"/>
      <c r="F149" s="3"/>
      <c r="G149" s="87"/>
      <c r="H149" s="87"/>
      <c r="I149" s="87"/>
      <c r="J149" s="446">
        <f>SUM(G148:J148)</f>
        <v>68803</v>
      </c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3"/>
      <c r="AB149" s="3"/>
      <c r="AC149" s="3"/>
      <c r="AD149" s="87"/>
      <c r="AE149" s="87"/>
      <c r="AF149" s="87"/>
      <c r="AG149" s="3"/>
      <c r="AH149" s="87"/>
      <c r="AI149" s="87"/>
      <c r="AJ149" s="87"/>
      <c r="AK149" s="87"/>
      <c r="BK149"/>
      <c r="BX149" s="87"/>
      <c r="BZ149" s="87"/>
    </row>
    <row r="150" spans="1:78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BK150"/>
    </row>
    <row r="151" spans="1:78">
      <c r="A151" s="3"/>
      <c r="B151" s="3" t="s">
        <v>20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BK151"/>
    </row>
    <row r="152" spans="1:78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BK152"/>
    </row>
    <row r="153" spans="1:78">
      <c r="A153" s="3"/>
      <c r="B153" s="3" t="s">
        <v>2549</v>
      </c>
      <c r="C153" s="3"/>
      <c r="D153" s="3"/>
      <c r="E153" s="3"/>
      <c r="F153" s="3"/>
      <c r="G153" s="87">
        <v>17601</v>
      </c>
      <c r="H153" s="87">
        <v>27582</v>
      </c>
      <c r="I153" s="87">
        <v>25279</v>
      </c>
      <c r="J153" s="87">
        <v>33244</v>
      </c>
      <c r="K153" s="87">
        <v>33365</v>
      </c>
      <c r="L153" s="87">
        <v>26380</v>
      </c>
      <c r="M153" s="87">
        <v>24110</v>
      </c>
      <c r="N153" s="87">
        <v>34660</v>
      </c>
      <c r="O153" s="87">
        <f>68599-P153</f>
        <v>35318</v>
      </c>
      <c r="P153" s="87">
        <v>33281</v>
      </c>
      <c r="Q153" s="87">
        <v>52107</v>
      </c>
      <c r="R153" s="87">
        <v>55038</v>
      </c>
      <c r="S153" s="266">
        <v>45147</v>
      </c>
      <c r="T153" s="266">
        <v>70789</v>
      </c>
      <c r="U153" s="266">
        <v>58410</v>
      </c>
      <c r="V153" s="266">
        <v>43512</v>
      </c>
      <c r="W153" s="266">
        <v>33314</v>
      </c>
      <c r="X153" s="266">
        <v>38763</v>
      </c>
      <c r="Y153" s="266">
        <v>24202</v>
      </c>
      <c r="Z153" s="266">
        <v>32696</v>
      </c>
      <c r="AA153" s="3"/>
      <c r="AB153" s="3"/>
      <c r="AC153" s="3"/>
      <c r="AD153" s="645">
        <f>Master!J69-'New Ints'!AA153-'New Ints'!AB153-'New Ints'!AC153</f>
        <v>114800</v>
      </c>
      <c r="AE153" s="645">
        <f>Master!J69</f>
        <v>114800</v>
      </c>
      <c r="AF153" s="645">
        <f>Master!K69</f>
        <v>115089.60035478818</v>
      </c>
      <c r="AG153" s="3"/>
      <c r="AH153" s="87"/>
      <c r="AI153" s="87"/>
      <c r="AJ153" s="87"/>
      <c r="AK153" s="87"/>
      <c r="BK153"/>
      <c r="BX153" s="457">
        <v>35900</v>
      </c>
      <c r="BZ153" s="584">
        <v>72056</v>
      </c>
    </row>
    <row r="154" spans="1:78">
      <c r="A154" s="3"/>
      <c r="B154" s="3" t="s">
        <v>2550</v>
      </c>
      <c r="C154" s="3"/>
      <c r="D154" s="3"/>
      <c r="E154" s="3"/>
      <c r="F154" s="3"/>
      <c r="G154" s="87">
        <v>15661</v>
      </c>
      <c r="H154" s="87">
        <v>24719</v>
      </c>
      <c r="I154" s="87">
        <v>19160</v>
      </c>
      <c r="J154" s="87">
        <v>31702</v>
      </c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3"/>
      <c r="AB154" s="3"/>
      <c r="AC154" s="3"/>
      <c r="AD154" s="87"/>
      <c r="AE154" s="87"/>
      <c r="AF154" s="87"/>
      <c r="AG154" s="3"/>
      <c r="AH154" s="87"/>
      <c r="AI154" s="87"/>
      <c r="AJ154" s="87"/>
      <c r="AK154" s="87"/>
      <c r="BK154"/>
      <c r="BX154" s="87"/>
      <c r="BZ154" s="87"/>
    </row>
    <row r="155" spans="1:78">
      <c r="A155" s="3"/>
      <c r="B155" s="3" t="s">
        <v>2551</v>
      </c>
      <c r="C155" s="3"/>
      <c r="D155" s="3"/>
      <c r="E155" s="3"/>
      <c r="F155" s="3"/>
      <c r="G155" s="87">
        <f>G153-G154</f>
        <v>1940</v>
      </c>
      <c r="H155" s="87">
        <f>H153-H154</f>
        <v>2863</v>
      </c>
      <c r="I155" s="87">
        <f>I153-I154</f>
        <v>6119</v>
      </c>
      <c r="J155" s="87">
        <f>J153-J154</f>
        <v>1542</v>
      </c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3"/>
      <c r="AB155" s="3"/>
      <c r="AC155" s="3"/>
      <c r="AD155" s="87"/>
      <c r="AE155" s="87"/>
      <c r="AF155" s="87"/>
      <c r="AG155" s="3"/>
      <c r="AH155" s="87"/>
      <c r="AI155" s="87"/>
      <c r="AJ155" s="87"/>
      <c r="AK155" s="87"/>
      <c r="BK155"/>
      <c r="BX155" s="87"/>
      <c r="BZ155" s="87"/>
    </row>
    <row r="156" spans="1:78">
      <c r="A156" s="3"/>
      <c r="B156" s="3"/>
      <c r="C156" s="3"/>
      <c r="D156" s="3"/>
      <c r="E156" s="3"/>
      <c r="F156" s="3"/>
      <c r="G156" s="87"/>
      <c r="H156" s="87"/>
      <c r="I156" s="87"/>
      <c r="J156" s="446">
        <f>SUM(G155:J155)</f>
        <v>12464</v>
      </c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3"/>
      <c r="AB156" s="3"/>
      <c r="AC156" s="3"/>
      <c r="AD156" s="87"/>
      <c r="AE156" s="87"/>
      <c r="AF156" s="87"/>
      <c r="AG156" s="3"/>
      <c r="AH156" s="87"/>
      <c r="AI156" s="87"/>
      <c r="AJ156" s="87"/>
      <c r="AK156" s="87"/>
      <c r="BK156"/>
      <c r="BX156" s="87"/>
      <c r="BZ156" s="87"/>
    </row>
    <row r="157" spans="1:78">
      <c r="A157" s="3"/>
      <c r="B157" s="3" t="s">
        <v>681</v>
      </c>
      <c r="C157" s="3"/>
      <c r="D157" s="3"/>
      <c r="E157" s="3"/>
      <c r="F157" s="3"/>
      <c r="G157" s="87"/>
      <c r="H157" s="87"/>
      <c r="I157" s="87"/>
      <c r="J157" s="87"/>
      <c r="K157" s="87">
        <v>45200</v>
      </c>
      <c r="L157" s="87">
        <v>-2864</v>
      </c>
      <c r="M157" s="87">
        <v>-4783</v>
      </c>
      <c r="N157" s="87">
        <v>-28065</v>
      </c>
      <c r="O157" s="87">
        <f>19579-P157</f>
        <v>8843</v>
      </c>
      <c r="P157" s="87">
        <v>10736</v>
      </c>
      <c r="Q157" s="87">
        <v>31470</v>
      </c>
      <c r="R157" s="87">
        <v>-7394</v>
      </c>
      <c r="S157" s="266">
        <v>-32165</v>
      </c>
      <c r="T157" s="266">
        <v>167083</v>
      </c>
      <c r="U157" s="266">
        <v>2400</v>
      </c>
      <c r="V157" s="266">
        <v>-54354</v>
      </c>
      <c r="W157" s="266">
        <v>-29915</v>
      </c>
      <c r="X157" s="266">
        <v>5354</v>
      </c>
      <c r="Y157" s="266">
        <v>48450</v>
      </c>
      <c r="Z157" s="266">
        <v>7821</v>
      </c>
      <c r="AA157" s="3"/>
      <c r="AB157" s="3"/>
      <c r="AC157" s="3"/>
      <c r="AD157" s="645">
        <f>Master!J74-'New Ints'!AA157-'New Ints'!AB157-'New Ints'!AC157</f>
        <v>37464.806333445136</v>
      </c>
      <c r="AE157" s="645">
        <f>Master!J74</f>
        <v>37464.806333445136</v>
      </c>
      <c r="AF157" s="645">
        <f>Master!K74</f>
        <v>43206.346960657684</v>
      </c>
      <c r="AG157" s="3"/>
      <c r="AH157" s="87"/>
      <c r="AI157" s="87">
        <f>Z157/4</f>
        <v>1955.25</v>
      </c>
      <c r="AJ157" s="87"/>
      <c r="AK157" s="87"/>
      <c r="BK157"/>
      <c r="BX157" s="457">
        <f>12600</f>
        <v>12600</v>
      </c>
      <c r="BZ157" s="584">
        <v>-302.97056630275983</v>
      </c>
    </row>
    <row r="158" spans="1:78">
      <c r="A158" s="3"/>
      <c r="B158" s="3" t="s">
        <v>100</v>
      </c>
      <c r="C158" s="3"/>
      <c r="D158" s="3"/>
      <c r="E158" s="3"/>
      <c r="F158" s="3"/>
      <c r="G158" s="87"/>
      <c r="H158" s="87"/>
      <c r="I158" s="87"/>
      <c r="J158" s="87"/>
      <c r="K158" s="87">
        <f t="shared" ref="K158:R158" si="257">K42-K146-K153-K157</f>
        <v>-22465</v>
      </c>
      <c r="L158" s="87">
        <f t="shared" si="257"/>
        <v>22518</v>
      </c>
      <c r="M158" s="87">
        <f t="shared" si="257"/>
        <v>27263</v>
      </c>
      <c r="N158" s="87">
        <f t="shared" si="257"/>
        <v>57149</v>
      </c>
      <c r="O158" s="87">
        <f t="shared" si="257"/>
        <v>17323</v>
      </c>
      <c r="P158" s="87">
        <f t="shared" si="257"/>
        <v>44674</v>
      </c>
      <c r="Q158" s="87">
        <f t="shared" si="257"/>
        <v>2197</v>
      </c>
      <c r="R158" s="87">
        <f t="shared" si="257"/>
        <v>10783</v>
      </c>
      <c r="S158" s="266">
        <v>52307</v>
      </c>
      <c r="T158" s="87">
        <f>T42-T146-T153-T157</f>
        <v>308649</v>
      </c>
      <c r="U158" s="266">
        <v>42802</v>
      </c>
      <c r="V158" s="266">
        <v>53030</v>
      </c>
      <c r="W158" s="266">
        <v>3032</v>
      </c>
      <c r="X158" s="266">
        <v>22345</v>
      </c>
      <c r="Y158" s="266">
        <v>-12095</v>
      </c>
      <c r="Z158" s="266">
        <v>75601</v>
      </c>
      <c r="AA158" s="3"/>
      <c r="AB158" s="3"/>
      <c r="AC158" s="3"/>
      <c r="AD158" s="645">
        <f>Master!J78-'New Ints'!AA158-'New Ints'!AB158-'New Ints'!AC158</f>
        <v>101293.73564227758</v>
      </c>
      <c r="AE158" s="645">
        <f>Master!J78</f>
        <v>101293.73564227758</v>
      </c>
      <c r="AF158" s="645">
        <f>Master!K78</f>
        <v>116817.16030103742</v>
      </c>
      <c r="AG158" s="3"/>
      <c r="AH158" s="87"/>
      <c r="AI158" s="87">
        <f>Z158/4</f>
        <v>18900.25</v>
      </c>
      <c r="AJ158" s="87"/>
      <c r="AK158" s="87"/>
      <c r="BK158"/>
      <c r="BX158" s="87">
        <f>BX42-BX146-BX153-BX157</f>
        <v>-2388.2785499999882</v>
      </c>
      <c r="BZ158" s="87">
        <v>54032.190691107346</v>
      </c>
    </row>
    <row r="159" spans="1:78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BK159"/>
    </row>
    <row r="160" spans="1:78">
      <c r="A160" s="3"/>
      <c r="B160" s="3" t="s">
        <v>2526</v>
      </c>
      <c r="C160" s="3"/>
      <c r="D160" s="3"/>
      <c r="E160" s="3"/>
      <c r="F160" s="3"/>
      <c r="G160" s="3"/>
      <c r="H160" s="3"/>
      <c r="I160" s="3"/>
      <c r="J160" s="87">
        <v>410786</v>
      </c>
      <c r="K160" s="87"/>
      <c r="L160" s="87"/>
      <c r="M160" s="87"/>
      <c r="N160" s="87"/>
      <c r="O160" s="87"/>
      <c r="P160" s="87"/>
      <c r="Q160" s="87"/>
      <c r="R160" s="87"/>
      <c r="S160" s="457">
        <v>0</v>
      </c>
      <c r="T160" s="541">
        <v>588875</v>
      </c>
      <c r="U160" s="457"/>
      <c r="V160" s="457"/>
      <c r="W160" s="457"/>
      <c r="X160" s="457"/>
      <c r="Y160" s="457"/>
      <c r="Z160" s="626">
        <f>Master!I86-'New Ints'!W160-'New Ints'!X160-'New Ints'!Y160</f>
        <v>412000</v>
      </c>
      <c r="AA160" s="3"/>
      <c r="AB160" s="3"/>
      <c r="AC160" s="3"/>
      <c r="AD160" s="645">
        <f>Master!J86-'New Ints'!AA160-'New Ints'!AB160-'New Ints'!AC160</f>
        <v>0</v>
      </c>
      <c r="AE160" s="645">
        <f>Master!J86</f>
        <v>0</v>
      </c>
      <c r="AF160" s="645">
        <f>Master!K86</f>
        <v>0</v>
      </c>
      <c r="AG160" s="3"/>
      <c r="AH160" s="87"/>
      <c r="AI160" s="87"/>
      <c r="AJ160" s="87"/>
      <c r="AK160" s="87"/>
      <c r="BK160"/>
      <c r="BX160" s="457">
        <v>0</v>
      </c>
      <c r="BZ160" s="584">
        <v>0</v>
      </c>
    </row>
    <row r="161" spans="1:79">
      <c r="A161" s="3"/>
      <c r="B161" s="3" t="s">
        <v>2527</v>
      </c>
      <c r="C161" s="3"/>
      <c r="D161" s="3"/>
      <c r="E161" s="3"/>
      <c r="F161" s="3"/>
      <c r="G161" s="3"/>
      <c r="H161" s="3"/>
      <c r="I161" s="3"/>
      <c r="J161" s="87">
        <v>165236</v>
      </c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3"/>
      <c r="AB161" s="3"/>
      <c r="AC161" s="3"/>
      <c r="AD161" s="87"/>
      <c r="AE161" s="87"/>
      <c r="AF161" s="87"/>
      <c r="AG161" s="3"/>
      <c r="AH161" s="87"/>
      <c r="AI161" s="87"/>
      <c r="AJ161" s="87"/>
      <c r="AK161" s="87"/>
      <c r="BK161"/>
      <c r="BX161" s="87"/>
      <c r="BZ161" s="87"/>
    </row>
    <row r="162" spans="1:7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BK162"/>
    </row>
    <row r="163" spans="1:79">
      <c r="A163" s="3"/>
      <c r="B163" s="3" t="s">
        <v>889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457">
        <v>0</v>
      </c>
      <c r="T163" s="457">
        <f>(200+470+470)*Valuation!P4</f>
        <v>342000</v>
      </c>
      <c r="U163" s="457"/>
      <c r="V163" s="457"/>
      <c r="W163" s="457"/>
      <c r="X163" s="457"/>
      <c r="Y163" s="457"/>
      <c r="Z163" s="626">
        <f>Master!I95-'New Ints'!W163-'New Ints'!X163-'New Ints'!Y163</f>
        <v>28389.608622</v>
      </c>
      <c r="AA163" s="3"/>
      <c r="AB163" s="3"/>
      <c r="AC163" s="3"/>
      <c r="AD163" s="645">
        <f>Master!J95-'New Ints'!AA163-'New Ints'!AB163-'New Ints'!AC163</f>
        <v>45302.56695</v>
      </c>
      <c r="AE163" s="645">
        <f>Master!J95</f>
        <v>45302.56695</v>
      </c>
      <c r="AF163" s="645">
        <f>Master!K95</f>
        <v>49832.823644999997</v>
      </c>
      <c r="AG163" s="3"/>
      <c r="AH163" s="87"/>
      <c r="AI163" s="87"/>
      <c r="AJ163" s="87"/>
      <c r="AK163" s="87"/>
      <c r="BK163"/>
      <c r="BX163" s="457"/>
      <c r="BZ163" s="584">
        <v>53851.352552885881</v>
      </c>
    </row>
    <row r="164" spans="1:7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BK164"/>
    </row>
    <row r="165" spans="1:79">
      <c r="A165" s="3"/>
      <c r="B165" s="3" t="s">
        <v>3034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266">
        <v>-177307</v>
      </c>
      <c r="T165" s="87"/>
      <c r="U165" s="87"/>
      <c r="V165" s="457"/>
      <c r="W165" s="87"/>
      <c r="X165" s="457">
        <v>0</v>
      </c>
      <c r="Y165" s="457">
        <v>0</v>
      </c>
      <c r="Z165" s="626">
        <f>-Master!I84-'New Ints'!W165-'New Ints'!X165-'New Ints'!Y165</f>
        <v>0</v>
      </c>
      <c r="AA165" s="3"/>
      <c r="AB165" s="3"/>
      <c r="AC165" s="3"/>
      <c r="AD165" s="645">
        <f>-Master!J84-'New Ints'!AA165-'New Ints'!AB165-'New Ints'!AC165</f>
        <v>0</v>
      </c>
      <c r="AE165" s="645">
        <f>-Master!J84</f>
        <v>0</v>
      </c>
      <c r="AF165" s="645">
        <f>-Master!K84</f>
        <v>0</v>
      </c>
      <c r="AG165" s="3"/>
      <c r="AH165" s="528"/>
      <c r="AI165" s="528"/>
      <c r="AJ165" s="528"/>
      <c r="AK165" s="528"/>
      <c r="BK165"/>
      <c r="BX165" s="457">
        <v>0</v>
      </c>
      <c r="BZ165" s="584">
        <v>0</v>
      </c>
    </row>
    <row r="166" spans="1:79">
      <c r="A166" s="3"/>
      <c r="B166" s="3" t="s">
        <v>3033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87">
        <f t="shared" ref="S166:Z166" si="258">S95-S113-S153-S157+S160-S163+S165</f>
        <v>-126402</v>
      </c>
      <c r="T166" s="87">
        <f t="shared" si="258"/>
        <v>45862</v>
      </c>
      <c r="U166" s="87">
        <f t="shared" si="258"/>
        <v>-45098</v>
      </c>
      <c r="V166" s="87">
        <f t="shared" si="258"/>
        <v>-7140</v>
      </c>
      <c r="W166" s="87">
        <f t="shared" si="258"/>
        <v>23344</v>
      </c>
      <c r="X166" s="87">
        <f t="shared" si="258"/>
        <v>-14970</v>
      </c>
      <c r="Y166" s="87">
        <f t="shared" si="258"/>
        <v>-27311</v>
      </c>
      <c r="Z166" s="87">
        <f t="shared" si="258"/>
        <v>373402.39137800003</v>
      </c>
      <c r="AA166" s="3"/>
      <c r="AB166" s="3"/>
      <c r="AC166" s="3"/>
      <c r="AD166" s="87">
        <f>AD95-AD113-AD153-AD157+AD160-AD163+AD165</f>
        <v>-217159.83727542439</v>
      </c>
      <c r="AE166" s="87">
        <f>AE95-AE113-AE153-AE157+AE160-AE163+AE165</f>
        <v>-130773.33727542439</v>
      </c>
      <c r="AF166" s="87">
        <f>AF95-AF113-AF153-AF157+AF160-AF163+AF165</f>
        <v>-101382.86536279391</v>
      </c>
      <c r="AG166" s="3"/>
      <c r="AH166" s="87"/>
      <c r="AI166" s="87"/>
      <c r="AJ166" s="87"/>
      <c r="AK166" s="87"/>
      <c r="BK166"/>
      <c r="BX166" s="87"/>
      <c r="BZ166" s="87">
        <v>-163274.99115967058</v>
      </c>
    </row>
    <row r="167" spans="1:79">
      <c r="A167" s="3"/>
      <c r="B167" s="3" t="s">
        <v>122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87">
        <f t="shared" ref="S167:Z167" si="259">S166-(R131-S131)</f>
        <v>3553</v>
      </c>
      <c r="T167" s="87">
        <f t="shared" si="259"/>
        <v>42162</v>
      </c>
      <c r="U167" s="87">
        <f t="shared" si="259"/>
        <v>57202</v>
      </c>
      <c r="V167" s="87">
        <f t="shared" si="259"/>
        <v>62860</v>
      </c>
      <c r="W167" s="87">
        <f t="shared" si="259"/>
        <v>74215</v>
      </c>
      <c r="X167" s="87">
        <f t="shared" si="259"/>
        <v>84759</v>
      </c>
      <c r="Y167" s="87">
        <f t="shared" si="259"/>
        <v>-184311</v>
      </c>
      <c r="Z167" s="87">
        <f t="shared" si="259"/>
        <v>-70897.608621999971</v>
      </c>
      <c r="AA167" s="3"/>
      <c r="AB167" s="3"/>
      <c r="AC167" s="3"/>
      <c r="AD167" s="3"/>
      <c r="AE167" s="3"/>
      <c r="AF167" s="3"/>
      <c r="AG167" s="3"/>
      <c r="AH167" s="87"/>
      <c r="AI167" s="87"/>
      <c r="AJ167" s="87"/>
      <c r="AK167" s="87"/>
      <c r="BK167"/>
      <c r="BX167" s="87">
        <f>BX166-(V131-BX131)</f>
        <v>1600</v>
      </c>
      <c r="BZ167" s="87">
        <v>20960.740732185019</v>
      </c>
    </row>
    <row r="168" spans="1:79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BK168"/>
    </row>
    <row r="169" spans="1:79">
      <c r="A169" s="3"/>
      <c r="B169" s="455" t="s">
        <v>1059</v>
      </c>
      <c r="C169" s="13" t="str">
        <f t="shared" ref="C169:S169" si="260">C2</f>
        <v>Q1 18</v>
      </c>
      <c r="D169" s="13" t="str">
        <f t="shared" si="260"/>
        <v>Q2 18</v>
      </c>
      <c r="E169" s="13" t="str">
        <f t="shared" si="260"/>
        <v>Q3 18</v>
      </c>
      <c r="F169" s="13" t="str">
        <f t="shared" si="260"/>
        <v>Q4 18</v>
      </c>
      <c r="G169" s="13" t="str">
        <f t="shared" si="260"/>
        <v>Q1 19</v>
      </c>
      <c r="H169" s="13" t="str">
        <f t="shared" si="260"/>
        <v>Q2 19</v>
      </c>
      <c r="I169" s="13" t="str">
        <f t="shared" si="260"/>
        <v>Q3 19</v>
      </c>
      <c r="J169" s="13" t="str">
        <f t="shared" si="260"/>
        <v>Q4 19</v>
      </c>
      <c r="K169" s="13" t="str">
        <f t="shared" si="260"/>
        <v>Q1 20</v>
      </c>
      <c r="L169" s="13" t="str">
        <f t="shared" si="260"/>
        <v>Q2 20</v>
      </c>
      <c r="M169" s="13" t="str">
        <f t="shared" si="260"/>
        <v>Q3 20</v>
      </c>
      <c r="N169" s="13" t="str">
        <f t="shared" si="260"/>
        <v>Q4 20</v>
      </c>
      <c r="O169" s="13" t="str">
        <f t="shared" si="260"/>
        <v>Q1 21</v>
      </c>
      <c r="P169" s="13" t="str">
        <f t="shared" si="260"/>
        <v>Q2 21</v>
      </c>
      <c r="Q169" s="13" t="str">
        <f t="shared" si="260"/>
        <v>Q3 21</v>
      </c>
      <c r="R169" s="13" t="str">
        <f t="shared" si="260"/>
        <v>Q4 21</v>
      </c>
      <c r="S169" s="13" t="str">
        <f t="shared" si="260"/>
        <v>Q1 22</v>
      </c>
      <c r="T169" s="403"/>
      <c r="U169" s="403"/>
      <c r="V169" s="403"/>
      <c r="W169" s="403"/>
      <c r="X169" s="403"/>
      <c r="Y169" s="403"/>
      <c r="Z169" s="403"/>
      <c r="AA169" s="3"/>
      <c r="AB169" s="3"/>
      <c r="AC169" s="3"/>
      <c r="AD169" s="403"/>
      <c r="AE169" s="403"/>
      <c r="AF169" s="403"/>
      <c r="AG169" s="3"/>
      <c r="AH169" s="403"/>
      <c r="AI169" s="403"/>
      <c r="AJ169" s="403"/>
      <c r="AK169" s="403"/>
      <c r="AN169" s="13" t="str">
        <f t="shared" ref="AN169:AZ169" si="261">AN2</f>
        <v>Q1 19</v>
      </c>
      <c r="AO169" s="13" t="str">
        <f t="shared" si="261"/>
        <v>Q2 19</v>
      </c>
      <c r="AP169" s="13" t="str">
        <f t="shared" si="261"/>
        <v>Q3 19</v>
      </c>
      <c r="AQ169" s="13" t="str">
        <f t="shared" si="261"/>
        <v>Q4 19</v>
      </c>
      <c r="AR169" s="13" t="str">
        <f t="shared" si="261"/>
        <v>Q1 20</v>
      </c>
      <c r="AS169" s="13" t="str">
        <f t="shared" si="261"/>
        <v>Q2 20</v>
      </c>
      <c r="AT169" s="13" t="str">
        <f t="shared" si="261"/>
        <v>Q3 20</v>
      </c>
      <c r="AU169" s="13" t="str">
        <f t="shared" si="261"/>
        <v>Q4 20</v>
      </c>
      <c r="AV169" s="13" t="str">
        <f t="shared" si="261"/>
        <v>Q1 21</v>
      </c>
      <c r="AW169" s="13" t="str">
        <f t="shared" si="261"/>
        <v>Q2 21</v>
      </c>
      <c r="AX169" s="13" t="str">
        <f t="shared" si="261"/>
        <v>Q3 21</v>
      </c>
      <c r="AY169" s="13" t="str">
        <f t="shared" si="261"/>
        <v>Q4 21</v>
      </c>
      <c r="AZ169" s="13" t="str">
        <f t="shared" si="261"/>
        <v>Q1 22</v>
      </c>
      <c r="BA169" s="403"/>
      <c r="BB169" s="403"/>
      <c r="BC169" s="403"/>
      <c r="BD169" s="403"/>
      <c r="BE169" s="403"/>
      <c r="BF169" s="403"/>
      <c r="BG169" s="403"/>
      <c r="BH169" s="403"/>
      <c r="BI169" s="403"/>
      <c r="BJ169" s="403"/>
      <c r="BK169" s="403"/>
      <c r="BL169" s="620"/>
      <c r="BX169" s="403"/>
      <c r="BY169" s="403"/>
      <c r="BZ169" s="403"/>
      <c r="CA169" s="403"/>
    </row>
    <row r="170" spans="1:79">
      <c r="A170" s="3"/>
      <c r="B170" s="3" t="s">
        <v>2543</v>
      </c>
      <c r="C170" s="161">
        <v>45726</v>
      </c>
      <c r="D170" s="161">
        <v>47081</v>
      </c>
      <c r="E170" s="161">
        <v>49700</v>
      </c>
      <c r="F170" s="161">
        <v>53920</v>
      </c>
      <c r="G170" s="161">
        <v>48487</v>
      </c>
      <c r="H170" s="161">
        <v>51595</v>
      </c>
      <c r="I170" s="161">
        <v>50224</v>
      </c>
      <c r="J170" s="161">
        <v>52780</v>
      </c>
      <c r="K170" s="161">
        <v>47061</v>
      </c>
      <c r="L170" s="161">
        <v>50163</v>
      </c>
      <c r="M170" s="161">
        <v>50164</v>
      </c>
      <c r="N170" s="161">
        <v>56216</v>
      </c>
      <c r="O170" s="161">
        <v>46905</v>
      </c>
      <c r="P170" s="161">
        <v>53568</v>
      </c>
      <c r="Q170" s="161">
        <v>59148</v>
      </c>
      <c r="R170" s="161">
        <v>50023</v>
      </c>
      <c r="S170" s="161">
        <v>54855</v>
      </c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N170" s="8">
        <f t="shared" ref="AN170:AZ177" si="262">G170/C170-1</f>
        <v>6.0381402265669459E-2</v>
      </c>
      <c r="AO170" s="8">
        <f t="shared" si="262"/>
        <v>9.5877317813980234E-2</v>
      </c>
      <c r="AP170" s="8">
        <f t="shared" si="262"/>
        <v>1.0543259557344031E-2</v>
      </c>
      <c r="AQ170" s="8">
        <f t="shared" si="262"/>
        <v>-2.1142433234421332E-2</v>
      </c>
      <c r="AR170" s="8">
        <f t="shared" si="262"/>
        <v>-2.9409944933693533E-2</v>
      </c>
      <c r="AS170" s="8">
        <f t="shared" si="262"/>
        <v>-2.7754627386374686E-2</v>
      </c>
      <c r="AT170" s="8">
        <f t="shared" si="262"/>
        <v>-1.1946479770628127E-3</v>
      </c>
      <c r="AU170" s="8">
        <f t="shared" si="262"/>
        <v>6.5100416824554808E-2</v>
      </c>
      <c r="AV170" s="8">
        <f t="shared" si="262"/>
        <v>-3.3148466883407002E-3</v>
      </c>
      <c r="AW170" s="8">
        <f t="shared" si="262"/>
        <v>6.7878715387835742E-2</v>
      </c>
      <c r="AX170" s="8">
        <f t="shared" si="262"/>
        <v>0.17909257634957343</v>
      </c>
      <c r="AY170" s="8">
        <f t="shared" si="262"/>
        <v>-0.11016436601679236</v>
      </c>
      <c r="AZ170" s="8">
        <f t="shared" si="262"/>
        <v>0.16949152542372881</v>
      </c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60"/>
      <c r="BX170" s="3"/>
      <c r="BY170" s="8"/>
      <c r="BZ170" s="3"/>
      <c r="CA170" s="8"/>
    </row>
    <row r="171" spans="1:79">
      <c r="A171" s="3"/>
      <c r="B171" s="3" t="s">
        <v>19</v>
      </c>
      <c r="C171" s="161">
        <v>13384</v>
      </c>
      <c r="D171" s="161">
        <v>13290</v>
      </c>
      <c r="E171" s="161">
        <v>13030</v>
      </c>
      <c r="F171" s="161">
        <v>13141</v>
      </c>
      <c r="G171" s="99">
        <v>12585</v>
      </c>
      <c r="H171" s="99">
        <v>13831</v>
      </c>
      <c r="I171" s="99">
        <v>12349</v>
      </c>
      <c r="J171" s="99">
        <v>12091</v>
      </c>
      <c r="K171" s="99">
        <v>11949</v>
      </c>
      <c r="L171" s="99">
        <v>11769</v>
      </c>
      <c r="M171" s="99">
        <v>11236</v>
      </c>
      <c r="N171" s="99">
        <v>10370</v>
      </c>
      <c r="O171" s="99">
        <v>9459</v>
      </c>
      <c r="P171" s="99">
        <v>8930</v>
      </c>
      <c r="Q171" s="99">
        <v>8133</v>
      </c>
      <c r="R171" s="99">
        <v>8372</v>
      </c>
      <c r="S171" s="99">
        <v>7482</v>
      </c>
      <c r="T171" s="7"/>
      <c r="U171" s="7"/>
      <c r="V171" s="7"/>
      <c r="W171" s="7"/>
      <c r="X171" s="7"/>
      <c r="Y171" s="7"/>
      <c r="Z171" s="7"/>
      <c r="AA171" s="3"/>
      <c r="AB171" s="3"/>
      <c r="AC171" s="3"/>
      <c r="AD171" s="7"/>
      <c r="AE171" s="7"/>
      <c r="AF171" s="7"/>
      <c r="AG171" s="3"/>
      <c r="AH171" s="7"/>
      <c r="AI171" s="7"/>
      <c r="AJ171" s="7"/>
      <c r="AK171" s="7"/>
      <c r="AN171" s="8">
        <f t="shared" si="262"/>
        <v>-5.9698147041243321E-2</v>
      </c>
      <c r="AO171" s="8">
        <f t="shared" si="262"/>
        <v>4.0707298720842777E-2</v>
      </c>
      <c r="AP171" s="8">
        <f t="shared" si="262"/>
        <v>-5.2264006139677632E-2</v>
      </c>
      <c r="AQ171" s="8">
        <f t="shared" si="262"/>
        <v>-7.9902594931892557E-2</v>
      </c>
      <c r="AR171" s="8">
        <f t="shared" si="262"/>
        <v>-5.0536352800953477E-2</v>
      </c>
      <c r="AS171" s="8">
        <f t="shared" si="262"/>
        <v>-0.14908538789675363</v>
      </c>
      <c r="AT171" s="8">
        <f t="shared" si="262"/>
        <v>-9.0128755364806912E-2</v>
      </c>
      <c r="AU171" s="8">
        <f t="shared" si="262"/>
        <v>-0.14233727565958154</v>
      </c>
      <c r="AV171" s="8">
        <f t="shared" si="262"/>
        <v>-0.2083856389656038</v>
      </c>
      <c r="AW171" s="8">
        <f t="shared" si="262"/>
        <v>-0.24122695216246071</v>
      </c>
      <c r="AX171" s="8">
        <f t="shared" si="262"/>
        <v>-0.27616589533641867</v>
      </c>
      <c r="AY171" s="8">
        <f t="shared" si="262"/>
        <v>-0.19267116682738672</v>
      </c>
      <c r="AZ171" s="8">
        <f t="shared" si="262"/>
        <v>-0.20900729464002532</v>
      </c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60"/>
      <c r="BX171" s="7"/>
      <c r="BY171" s="8"/>
      <c r="BZ171" s="7"/>
      <c r="CA171" s="8"/>
    </row>
    <row r="172" spans="1:79">
      <c r="A172" s="3"/>
      <c r="B172" s="3" t="s">
        <v>162</v>
      </c>
      <c r="C172" s="161">
        <v>2681</v>
      </c>
      <c r="D172" s="161">
        <v>2491</v>
      </c>
      <c r="E172" s="161">
        <v>2664</v>
      </c>
      <c r="F172" s="161">
        <v>2628</v>
      </c>
      <c r="G172" s="161">
        <v>2163</v>
      </c>
      <c r="H172" s="161">
        <v>1927</v>
      </c>
      <c r="I172" s="161">
        <v>1966</v>
      </c>
      <c r="J172" s="161">
        <v>1994</v>
      </c>
      <c r="K172" s="161">
        <v>1550</v>
      </c>
      <c r="L172" s="161">
        <v>1761</v>
      </c>
      <c r="M172" s="161">
        <v>1023</v>
      </c>
      <c r="N172" s="161">
        <v>1287</v>
      </c>
      <c r="O172" s="161">
        <v>1012</v>
      </c>
      <c r="P172" s="161">
        <v>1107</v>
      </c>
      <c r="Q172" s="161">
        <v>951</v>
      </c>
      <c r="R172" s="161">
        <v>813</v>
      </c>
      <c r="S172" s="161">
        <v>860</v>
      </c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N172" s="8">
        <f t="shared" si="262"/>
        <v>-0.19321148825065271</v>
      </c>
      <c r="AO172" s="8">
        <f t="shared" si="262"/>
        <v>-0.22641509433962259</v>
      </c>
      <c r="AP172" s="8">
        <f t="shared" si="262"/>
        <v>-0.26201201201201196</v>
      </c>
      <c r="AQ172" s="8">
        <f t="shared" si="262"/>
        <v>-0.24124809741248099</v>
      </c>
      <c r="AR172" s="8">
        <f t="shared" si="262"/>
        <v>-0.28340268146093384</v>
      </c>
      <c r="AS172" s="8">
        <f t="shared" si="262"/>
        <v>-8.6144265697976175E-2</v>
      </c>
      <c r="AT172" s="8">
        <f t="shared" si="262"/>
        <v>-0.47965412004069174</v>
      </c>
      <c r="AU172" s="8">
        <f t="shared" si="262"/>
        <v>-0.35456369107321961</v>
      </c>
      <c r="AV172" s="8">
        <f t="shared" si="262"/>
        <v>-0.34709677419354834</v>
      </c>
      <c r="AW172" s="8">
        <f t="shared" si="262"/>
        <v>-0.37137989778534919</v>
      </c>
      <c r="AX172" s="8">
        <f t="shared" si="262"/>
        <v>-7.0381231671554301E-2</v>
      </c>
      <c r="AY172" s="8">
        <f t="shared" si="262"/>
        <v>-0.36829836829836826</v>
      </c>
      <c r="AZ172" s="8">
        <f t="shared" si="262"/>
        <v>-0.15019762845849804</v>
      </c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60"/>
      <c r="BX172" s="3"/>
      <c r="BY172" s="8"/>
      <c r="BZ172" s="3"/>
      <c r="CA172" s="8"/>
    </row>
    <row r="173" spans="1:79">
      <c r="A173" s="3"/>
      <c r="B173" s="3" t="s">
        <v>24</v>
      </c>
      <c r="C173" s="161">
        <v>11664</v>
      </c>
      <c r="D173" s="161">
        <v>12185</v>
      </c>
      <c r="E173" s="161">
        <v>12827</v>
      </c>
      <c r="F173" s="161">
        <v>12690</v>
      </c>
      <c r="G173" s="161">
        <v>13157</v>
      </c>
      <c r="H173" s="161">
        <v>13787</v>
      </c>
      <c r="I173" s="161">
        <v>15417</v>
      </c>
      <c r="J173" s="161">
        <v>15794</v>
      </c>
      <c r="K173" s="161">
        <v>16327</v>
      </c>
      <c r="L173" s="161">
        <v>16436</v>
      </c>
      <c r="M173" s="161">
        <v>15986</v>
      </c>
      <c r="N173" s="161">
        <v>17522</v>
      </c>
      <c r="O173" s="161">
        <v>18761</v>
      </c>
      <c r="P173" s="161">
        <v>20387</v>
      </c>
      <c r="Q173" s="161">
        <v>20884</v>
      </c>
      <c r="R173" s="161">
        <v>21992</v>
      </c>
      <c r="S173" s="161">
        <v>22537</v>
      </c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N173" s="8">
        <f t="shared" si="262"/>
        <v>0.12800068587105629</v>
      </c>
      <c r="AO173" s="8">
        <f t="shared" si="262"/>
        <v>0.1314731226918342</v>
      </c>
      <c r="AP173" s="8">
        <f t="shared" si="262"/>
        <v>0.20191782957823334</v>
      </c>
      <c r="AQ173" s="8">
        <f t="shared" si="262"/>
        <v>0.24460204885736792</v>
      </c>
      <c r="AR173" s="8">
        <f t="shared" si="262"/>
        <v>0.24093638367408987</v>
      </c>
      <c r="AS173" s="8">
        <f t="shared" si="262"/>
        <v>0.19213752085297742</v>
      </c>
      <c r="AT173" s="8">
        <f t="shared" si="262"/>
        <v>3.6907310112213709E-2</v>
      </c>
      <c r="AU173" s="8">
        <f t="shared" si="262"/>
        <v>0.10940863619095853</v>
      </c>
      <c r="AV173" s="8">
        <f t="shared" si="262"/>
        <v>0.14907821400134735</v>
      </c>
      <c r="AW173" s="8">
        <f t="shared" si="262"/>
        <v>0.24038695546361644</v>
      </c>
      <c r="AX173" s="8">
        <f t="shared" si="262"/>
        <v>0.30639309395721259</v>
      </c>
      <c r="AY173" s="8">
        <f t="shared" si="262"/>
        <v>0.25510786439904121</v>
      </c>
      <c r="AZ173" s="8">
        <f t="shared" si="262"/>
        <v>0.20126858909439793</v>
      </c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60"/>
      <c r="BX173" s="3"/>
      <c r="BY173" s="8"/>
      <c r="BZ173" s="3"/>
      <c r="CA173" s="8"/>
    </row>
    <row r="174" spans="1:79">
      <c r="A174" s="3"/>
      <c r="B174" s="3" t="s">
        <v>20</v>
      </c>
      <c r="C174" s="161">
        <v>7589</v>
      </c>
      <c r="D174" s="161">
        <v>7748</v>
      </c>
      <c r="E174" s="161">
        <v>7243</v>
      </c>
      <c r="F174" s="161">
        <v>7369</v>
      </c>
      <c r="G174" s="161">
        <v>7561</v>
      </c>
      <c r="H174" s="161">
        <v>7387</v>
      </c>
      <c r="I174" s="161">
        <v>7140</v>
      </c>
      <c r="J174" s="161">
        <v>7474</v>
      </c>
      <c r="K174" s="161">
        <v>7785</v>
      </c>
      <c r="L174" s="161">
        <v>7757</v>
      </c>
      <c r="M174" s="161">
        <v>7868</v>
      </c>
      <c r="N174" s="161">
        <v>8806</v>
      </c>
      <c r="O174" s="161">
        <v>10759</v>
      </c>
      <c r="P174" s="161">
        <v>9851</v>
      </c>
      <c r="Q174" s="161">
        <v>9558</v>
      </c>
      <c r="R174" s="161">
        <v>11089</v>
      </c>
      <c r="S174" s="161">
        <v>11365</v>
      </c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N174" s="8">
        <f t="shared" si="262"/>
        <v>-3.6895506654368582E-3</v>
      </c>
      <c r="AO174" s="8">
        <f t="shared" si="262"/>
        <v>-4.6592669075890547E-2</v>
      </c>
      <c r="AP174" s="8">
        <f t="shared" si="262"/>
        <v>-1.4220626812094461E-2</v>
      </c>
      <c r="AQ174" s="8">
        <f t="shared" si="262"/>
        <v>1.424888044510797E-2</v>
      </c>
      <c r="AR174" s="8">
        <f t="shared" si="262"/>
        <v>2.9625710884803702E-2</v>
      </c>
      <c r="AS174" s="8">
        <f t="shared" si="262"/>
        <v>5.0087992419114657E-2</v>
      </c>
      <c r="AT174" s="8">
        <f t="shared" si="262"/>
        <v>0.10196078431372557</v>
      </c>
      <c r="AU174" s="8">
        <f t="shared" si="262"/>
        <v>0.17821782178217815</v>
      </c>
      <c r="AV174" s="8">
        <f t="shared" si="262"/>
        <v>0.38201669877970446</v>
      </c>
      <c r="AW174" s="8">
        <f t="shared" si="262"/>
        <v>0.26994972283099128</v>
      </c>
      <c r="AX174" s="8">
        <f t="shared" si="262"/>
        <v>0.21479410269445864</v>
      </c>
      <c r="AY174" s="8">
        <f t="shared" si="262"/>
        <v>0.25925505337270049</v>
      </c>
      <c r="AZ174" s="8">
        <f t="shared" si="262"/>
        <v>5.6324937261827301E-2</v>
      </c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60"/>
      <c r="BX174" s="3"/>
      <c r="BY174" s="8"/>
      <c r="BZ174" s="3"/>
      <c r="CA174" s="8"/>
    </row>
    <row r="175" spans="1:79">
      <c r="A175" s="3"/>
      <c r="B175" s="3" t="s">
        <v>2544</v>
      </c>
      <c r="C175" s="161">
        <v>4165</v>
      </c>
      <c r="D175" s="161">
        <v>4007</v>
      </c>
      <c r="E175" s="161">
        <v>9574</v>
      </c>
      <c r="F175" s="161">
        <v>5906</v>
      </c>
      <c r="G175" s="161">
        <v>4519</v>
      </c>
      <c r="H175" s="161">
        <v>6508</v>
      </c>
      <c r="I175" s="161">
        <v>7059</v>
      </c>
      <c r="J175" s="161">
        <v>7069</v>
      </c>
      <c r="K175" s="161">
        <v>7105</v>
      </c>
      <c r="L175" s="161">
        <v>5571</v>
      </c>
      <c r="M175" s="161">
        <v>4869</v>
      </c>
      <c r="N175" s="161">
        <v>4598</v>
      </c>
      <c r="O175" s="161">
        <v>4019</v>
      </c>
      <c r="P175" s="161">
        <v>4382</v>
      </c>
      <c r="Q175" s="161">
        <v>4272</v>
      </c>
      <c r="R175" s="161">
        <v>6139</v>
      </c>
      <c r="S175" s="161">
        <v>4925</v>
      </c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N175" s="8">
        <f t="shared" si="262"/>
        <v>8.4993997599039695E-2</v>
      </c>
      <c r="AO175" s="8">
        <f t="shared" si="262"/>
        <v>0.6241577239830296</v>
      </c>
      <c r="AP175" s="8">
        <f t="shared" si="262"/>
        <v>-0.2626906204303322</v>
      </c>
      <c r="AQ175" s="8">
        <f t="shared" si="262"/>
        <v>0.19691838807991879</v>
      </c>
      <c r="AR175" s="8">
        <f t="shared" si="262"/>
        <v>0.57225049789776494</v>
      </c>
      <c r="AS175" s="8">
        <f t="shared" si="262"/>
        <v>-0.1439766441303012</v>
      </c>
      <c r="AT175" s="8">
        <f t="shared" si="262"/>
        <v>-0.31024224394390143</v>
      </c>
      <c r="AU175" s="8">
        <f t="shared" si="262"/>
        <v>-0.349554392417598</v>
      </c>
      <c r="AV175" s="8">
        <f t="shared" si="262"/>
        <v>-0.43434201266713579</v>
      </c>
      <c r="AW175" s="8">
        <f t="shared" si="262"/>
        <v>-0.21342667384670611</v>
      </c>
      <c r="AX175" s="8">
        <f t="shared" si="262"/>
        <v>-0.12261244608749233</v>
      </c>
      <c r="AY175" s="8">
        <f t="shared" si="262"/>
        <v>0.33514571552849071</v>
      </c>
      <c r="AZ175" s="8">
        <f t="shared" si="262"/>
        <v>0.22542921124657878</v>
      </c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60"/>
      <c r="BX175" s="3"/>
      <c r="BY175" s="8"/>
      <c r="BZ175" s="3"/>
      <c r="CA175" s="8"/>
    </row>
    <row r="176" spans="1:79">
      <c r="A176" s="3"/>
      <c r="B176" s="2" t="s">
        <v>130</v>
      </c>
      <c r="C176" s="273">
        <v>8671</v>
      </c>
      <c r="D176" s="273">
        <v>9316</v>
      </c>
      <c r="E176" s="273">
        <v>9163</v>
      </c>
      <c r="F176" s="273">
        <v>9370</v>
      </c>
      <c r="G176" s="273">
        <v>9650</v>
      </c>
      <c r="H176" s="273">
        <v>10196</v>
      </c>
      <c r="I176" s="273">
        <v>9274</v>
      </c>
      <c r="J176" s="273">
        <v>9469</v>
      </c>
      <c r="K176" s="273">
        <v>10536</v>
      </c>
      <c r="L176" s="273">
        <v>9523</v>
      </c>
      <c r="M176" s="273">
        <v>10629</v>
      </c>
      <c r="N176" s="273">
        <v>11675</v>
      </c>
      <c r="O176" s="273">
        <v>11194</v>
      </c>
      <c r="P176" s="273">
        <v>11138</v>
      </c>
      <c r="Q176" s="273">
        <v>11015</v>
      </c>
      <c r="R176" s="273">
        <v>10981</v>
      </c>
      <c r="S176" s="273">
        <v>11058</v>
      </c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N176" s="83">
        <f t="shared" si="262"/>
        <v>0.11290508591857917</v>
      </c>
      <c r="AO176" s="83">
        <f t="shared" si="262"/>
        <v>9.446114212108192E-2</v>
      </c>
      <c r="AP176" s="83">
        <f t="shared" si="262"/>
        <v>1.2113936483684418E-2</v>
      </c>
      <c r="AQ176" s="83">
        <f t="shared" si="262"/>
        <v>1.0565635005336249E-2</v>
      </c>
      <c r="AR176" s="83">
        <f t="shared" si="262"/>
        <v>9.1813471502590671E-2</v>
      </c>
      <c r="AS176" s="83">
        <f t="shared" si="262"/>
        <v>-6.60062769713613E-2</v>
      </c>
      <c r="AT176" s="83">
        <f t="shared" si="262"/>
        <v>0.14610739702393793</v>
      </c>
      <c r="AU176" s="83">
        <f t="shared" si="262"/>
        <v>0.23297074664695328</v>
      </c>
      <c r="AV176" s="83">
        <f t="shared" si="262"/>
        <v>6.2452543659832882E-2</v>
      </c>
      <c r="AW176" s="83">
        <f t="shared" si="262"/>
        <v>0.16958941510028347</v>
      </c>
      <c r="AX176" s="83">
        <f t="shared" si="262"/>
        <v>3.6315739956722215E-2</v>
      </c>
      <c r="AY176" s="83">
        <f t="shared" si="262"/>
        <v>-5.9443254817987179E-2</v>
      </c>
      <c r="AZ176" s="83">
        <f t="shared" si="262"/>
        <v>-1.2149365731641937E-2</v>
      </c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60"/>
      <c r="BX176" s="3"/>
      <c r="BY176" s="8"/>
      <c r="BZ176" s="3"/>
      <c r="CA176" s="8"/>
    </row>
    <row r="177" spans="1:79">
      <c r="A177" s="3"/>
      <c r="B177" s="3" t="s">
        <v>68</v>
      </c>
      <c r="C177" s="3">
        <f t="shared" ref="C177:S177" si="263">SUM(C170:C176)</f>
        <v>93880</v>
      </c>
      <c r="D177" s="3">
        <f t="shared" si="263"/>
        <v>96118</v>
      </c>
      <c r="E177" s="3">
        <f t="shared" si="263"/>
        <v>104201</v>
      </c>
      <c r="F177" s="3">
        <f t="shared" si="263"/>
        <v>105024</v>
      </c>
      <c r="G177" s="3">
        <f t="shared" si="263"/>
        <v>98122</v>
      </c>
      <c r="H177" s="3">
        <f t="shared" si="263"/>
        <v>105231</v>
      </c>
      <c r="I177" s="3">
        <f t="shared" si="263"/>
        <v>103429</v>
      </c>
      <c r="J177" s="3">
        <f t="shared" si="263"/>
        <v>106671</v>
      </c>
      <c r="K177" s="3">
        <f t="shared" si="263"/>
        <v>102313</v>
      </c>
      <c r="L177" s="3">
        <f t="shared" si="263"/>
        <v>102980</v>
      </c>
      <c r="M177" s="3">
        <f t="shared" si="263"/>
        <v>101775</v>
      </c>
      <c r="N177" s="3">
        <f t="shared" si="263"/>
        <v>110474</v>
      </c>
      <c r="O177" s="3">
        <f t="shared" si="263"/>
        <v>102109</v>
      </c>
      <c r="P177" s="3">
        <f t="shared" si="263"/>
        <v>109363</v>
      </c>
      <c r="Q177" s="3">
        <f t="shared" si="263"/>
        <v>113961</v>
      </c>
      <c r="R177" s="3">
        <f t="shared" si="263"/>
        <v>109409</v>
      </c>
      <c r="S177" s="3">
        <f t="shared" si="263"/>
        <v>113082</v>
      </c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87"/>
      <c r="AI177" s="87"/>
      <c r="AJ177" s="87"/>
      <c r="AK177" s="87"/>
      <c r="AN177" s="8">
        <f t="shared" si="262"/>
        <v>4.518534299105248E-2</v>
      </c>
      <c r="AO177" s="8">
        <f t="shared" si="262"/>
        <v>9.4810545371314392E-2</v>
      </c>
      <c r="AP177" s="8">
        <f t="shared" si="262"/>
        <v>-7.4087580733390723E-3</v>
      </c>
      <c r="AQ177" s="8">
        <f t="shared" si="262"/>
        <v>1.5682129798903155E-2</v>
      </c>
      <c r="AR177" s="8">
        <f t="shared" si="262"/>
        <v>4.2712133874156732E-2</v>
      </c>
      <c r="AS177" s="8">
        <f t="shared" si="262"/>
        <v>-2.1391034961180666E-2</v>
      </c>
      <c r="AT177" s="8">
        <f t="shared" si="262"/>
        <v>-1.5991646443453966E-2</v>
      </c>
      <c r="AU177" s="8">
        <f t="shared" si="262"/>
        <v>3.5651676650636066E-2</v>
      </c>
      <c r="AV177" s="8">
        <f t="shared" si="262"/>
        <v>-1.99388152043245E-3</v>
      </c>
      <c r="AW177" s="8">
        <f t="shared" si="262"/>
        <v>6.1982909302777278E-2</v>
      </c>
      <c r="AX177" s="8">
        <f t="shared" si="262"/>
        <v>0.11973470891672799</v>
      </c>
      <c r="AY177" s="8">
        <f t="shared" si="262"/>
        <v>-9.640277350326798E-3</v>
      </c>
      <c r="AZ177" s="8">
        <f t="shared" si="262"/>
        <v>0.10746359282727291</v>
      </c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60"/>
      <c r="BX177" s="3"/>
      <c r="BY177" s="8"/>
      <c r="BZ177" s="3"/>
      <c r="CA177" s="8"/>
    </row>
    <row r="178" spans="1:79">
      <c r="BK178"/>
    </row>
    <row r="179" spans="1:79">
      <c r="BK179"/>
    </row>
    <row r="180" spans="1:79">
      <c r="BK180"/>
    </row>
    <row r="181" spans="1:79">
      <c r="BK181"/>
    </row>
    <row r="182" spans="1:79">
      <c r="BK182"/>
    </row>
    <row r="183" spans="1:79">
      <c r="BK183"/>
    </row>
    <row r="184" spans="1:79">
      <c r="BK184"/>
    </row>
    <row r="185" spans="1:79">
      <c r="BK185"/>
    </row>
    <row r="186" spans="1:79">
      <c r="BK186"/>
    </row>
    <row r="187" spans="1:79">
      <c r="BK187"/>
    </row>
    <row r="188" spans="1:79">
      <c r="BK188"/>
    </row>
    <row r="189" spans="1:79">
      <c r="BK189"/>
    </row>
    <row r="190" spans="1:79">
      <c r="BK190"/>
    </row>
    <row r="191" spans="1:79">
      <c r="BK191"/>
    </row>
    <row r="192" spans="1:79">
      <c r="BK192"/>
    </row>
    <row r="193" spans="63:63">
      <c r="BK193"/>
    </row>
    <row r="194" spans="63:63">
      <c r="BK194"/>
    </row>
    <row r="195" spans="63:63">
      <c r="BK195"/>
    </row>
    <row r="196" spans="63:63">
      <c r="BK196"/>
    </row>
    <row r="197" spans="63:63">
      <c r="BK197"/>
    </row>
    <row r="198" spans="63:63">
      <c r="BK198"/>
    </row>
    <row r="199" spans="63:63">
      <c r="BK199"/>
    </row>
    <row r="200" spans="63:63">
      <c r="BK200"/>
    </row>
    <row r="201" spans="63:63">
      <c r="BK201"/>
    </row>
    <row r="202" spans="63:63">
      <c r="BK202"/>
    </row>
    <row r="203" spans="63:63">
      <c r="BK203"/>
    </row>
    <row r="204" spans="63:63">
      <c r="BK204"/>
    </row>
    <row r="205" spans="63:63">
      <c r="BK205"/>
    </row>
    <row r="206" spans="63:63">
      <c r="BK206"/>
    </row>
    <row r="207" spans="63:63">
      <c r="BK207"/>
    </row>
    <row r="208" spans="63:63">
      <c r="BK208"/>
    </row>
    <row r="209" spans="63:63">
      <c r="BK209"/>
    </row>
    <row r="210" spans="63:63">
      <c r="BK210"/>
    </row>
    <row r="211" spans="63:63">
      <c r="BK211"/>
    </row>
    <row r="212" spans="63:63">
      <c r="BK212"/>
    </row>
    <row r="213" spans="63:63">
      <c r="BK213"/>
    </row>
    <row r="214" spans="63:63">
      <c r="BK214"/>
    </row>
    <row r="215" spans="63:63">
      <c r="BK215"/>
    </row>
    <row r="216" spans="63:63">
      <c r="BK216"/>
    </row>
    <row r="217" spans="63:63">
      <c r="BK217"/>
    </row>
    <row r="218" spans="63:63">
      <c r="BK218"/>
    </row>
    <row r="219" spans="63:63">
      <c r="BK219"/>
    </row>
    <row r="220" spans="63:63">
      <c r="BK220"/>
    </row>
    <row r="221" spans="63:63">
      <c r="BK221"/>
    </row>
    <row r="222" spans="63:63">
      <c r="BK222"/>
    </row>
    <row r="223" spans="63:63">
      <c r="BK223"/>
    </row>
    <row r="224" spans="63:63">
      <c r="BK224"/>
    </row>
    <row r="225" spans="63:63">
      <c r="BK225"/>
    </row>
    <row r="226" spans="63:63">
      <c r="BK226"/>
    </row>
    <row r="227" spans="63:63">
      <c r="BK227"/>
    </row>
    <row r="228" spans="63:63">
      <c r="BK228"/>
    </row>
    <row r="229" spans="63:63">
      <c r="BK229"/>
    </row>
    <row r="230" spans="63:63">
      <c r="BK230"/>
    </row>
    <row r="231" spans="63:63">
      <c r="BK231"/>
    </row>
    <row r="232" spans="63:63">
      <c r="BK232"/>
    </row>
    <row r="233" spans="63:63">
      <c r="BK233"/>
    </row>
    <row r="234" spans="63:63">
      <c r="BK234"/>
    </row>
    <row r="235" spans="63:63">
      <c r="BK235"/>
    </row>
    <row r="236" spans="63:63">
      <c r="BK236"/>
    </row>
    <row r="237" spans="63:63">
      <c r="BK237"/>
    </row>
    <row r="238" spans="63:63">
      <c r="BK238"/>
    </row>
    <row r="239" spans="63:63">
      <c r="BK239"/>
    </row>
    <row r="240" spans="63:63">
      <c r="BK240"/>
    </row>
    <row r="241" spans="63:63">
      <c r="BK241"/>
    </row>
    <row r="242" spans="63:63">
      <c r="BK242"/>
    </row>
    <row r="243" spans="63:63">
      <c r="BK243"/>
    </row>
    <row r="244" spans="63:63">
      <c r="BK244"/>
    </row>
    <row r="245" spans="63:63">
      <c r="BK245"/>
    </row>
    <row r="246" spans="63:63">
      <c r="BK246"/>
    </row>
    <row r="247" spans="63:63">
      <c r="BK247"/>
    </row>
    <row r="248" spans="63:63">
      <c r="BK248"/>
    </row>
    <row r="249" spans="63:63">
      <c r="BK249"/>
    </row>
    <row r="250" spans="63:63">
      <c r="BK250"/>
    </row>
    <row r="251" spans="63:63">
      <c r="BK251"/>
    </row>
    <row r="252" spans="63:63">
      <c r="BK252"/>
    </row>
    <row r="253" spans="63:63">
      <c r="BK253"/>
    </row>
    <row r="254" spans="63:63">
      <c r="BK254"/>
    </row>
    <row r="255" spans="63:63">
      <c r="BK255"/>
    </row>
    <row r="256" spans="63:63">
      <c r="BK256"/>
    </row>
    <row r="257" spans="63:63">
      <c r="BK257"/>
    </row>
    <row r="258" spans="63:63">
      <c r="BK258"/>
    </row>
    <row r="259" spans="63:63">
      <c r="BK259"/>
    </row>
    <row r="260" spans="63:63">
      <c r="BK260"/>
    </row>
    <row r="261" spans="63:63">
      <c r="BK261"/>
    </row>
    <row r="262" spans="63:63">
      <c r="BK262"/>
    </row>
    <row r="263" spans="63:63">
      <c r="BK263"/>
    </row>
    <row r="264" spans="63:63">
      <c r="BK264"/>
    </row>
    <row r="265" spans="63:63">
      <c r="BK265"/>
    </row>
    <row r="266" spans="63:63">
      <c r="BK266"/>
    </row>
    <row r="267" spans="63:63">
      <c r="BK267"/>
    </row>
    <row r="268" spans="63:63">
      <c r="BK268"/>
    </row>
    <row r="269" spans="63:63">
      <c r="BK269"/>
    </row>
    <row r="270" spans="63:63">
      <c r="BK270"/>
    </row>
    <row r="271" spans="63:63">
      <c r="BK271"/>
    </row>
    <row r="272" spans="63:63">
      <c r="BK272"/>
    </row>
    <row r="273" spans="63:63">
      <c r="BK273"/>
    </row>
    <row r="274" spans="63:63">
      <c r="BK274"/>
    </row>
    <row r="275" spans="63:63">
      <c r="BK275"/>
    </row>
    <row r="276" spans="63:63">
      <c r="BK276"/>
    </row>
    <row r="277" spans="63:63">
      <c r="BK277"/>
    </row>
    <row r="278" spans="63:63">
      <c r="BK278"/>
    </row>
    <row r="279" spans="63:63">
      <c r="BK279"/>
    </row>
    <row r="280" spans="63:63">
      <c r="BK280"/>
    </row>
    <row r="281" spans="63:63">
      <c r="BK281"/>
    </row>
    <row r="282" spans="63:63">
      <c r="BK282"/>
    </row>
    <row r="283" spans="63:63">
      <c r="BK283"/>
    </row>
    <row r="284" spans="63:63">
      <c r="BK284"/>
    </row>
    <row r="285" spans="63:63">
      <c r="BK285"/>
    </row>
    <row r="286" spans="63:63">
      <c r="BK286"/>
    </row>
    <row r="287" spans="63:63">
      <c r="BK287"/>
    </row>
    <row r="288" spans="63:63">
      <c r="BK288"/>
    </row>
    <row r="289" spans="63:63">
      <c r="BK289"/>
    </row>
    <row r="290" spans="63:63">
      <c r="BK290"/>
    </row>
    <row r="291" spans="63:63">
      <c r="BK291"/>
    </row>
    <row r="292" spans="63:63">
      <c r="BK292"/>
    </row>
    <row r="293" spans="63:63">
      <c r="BK293"/>
    </row>
    <row r="294" spans="63:63">
      <c r="BK294"/>
    </row>
    <row r="295" spans="63:63">
      <c r="BK295"/>
    </row>
    <row r="296" spans="63:63">
      <c r="BK296"/>
    </row>
    <row r="297" spans="63:63">
      <c r="BK297"/>
    </row>
    <row r="298" spans="63:63">
      <c r="BK298"/>
    </row>
    <row r="299" spans="63:63">
      <c r="BK299"/>
    </row>
    <row r="300" spans="63:63">
      <c r="BK300"/>
    </row>
    <row r="301" spans="63:63">
      <c r="BK301"/>
    </row>
    <row r="302" spans="63:63">
      <c r="BK302"/>
    </row>
    <row r="303" spans="63:63">
      <c r="BK303"/>
    </row>
    <row r="304" spans="63:63">
      <c r="BK304"/>
    </row>
    <row r="305" spans="63:63">
      <c r="BK305"/>
    </row>
    <row r="306" spans="63:63">
      <c r="BK306"/>
    </row>
    <row r="307" spans="63:63">
      <c r="BK307"/>
    </row>
    <row r="308" spans="63:63">
      <c r="BK308"/>
    </row>
    <row r="309" spans="63:63">
      <c r="BK309"/>
    </row>
    <row r="310" spans="63:63">
      <c r="BK310"/>
    </row>
    <row r="311" spans="63:63">
      <c r="BK311"/>
    </row>
    <row r="312" spans="63:63">
      <c r="BK312"/>
    </row>
    <row r="313" spans="63:63">
      <c r="BK313"/>
    </row>
    <row r="314" spans="63:63">
      <c r="BK314"/>
    </row>
    <row r="315" spans="63:63">
      <c r="BK315"/>
    </row>
    <row r="316" spans="63:63">
      <c r="BK316"/>
    </row>
    <row r="317" spans="63:63">
      <c r="BK317"/>
    </row>
    <row r="318" spans="63:63">
      <c r="BK318"/>
    </row>
    <row r="319" spans="63:63">
      <c r="BK319"/>
    </row>
    <row r="320" spans="63:63">
      <c r="BK320"/>
    </row>
    <row r="321" spans="63:63">
      <c r="BK321"/>
    </row>
    <row r="322" spans="63:63">
      <c r="BK322"/>
    </row>
    <row r="323" spans="63:63">
      <c r="BK323"/>
    </row>
    <row r="324" spans="63:63">
      <c r="BK324"/>
    </row>
    <row r="325" spans="63:63">
      <c r="BK325"/>
    </row>
    <row r="326" spans="63:63">
      <c r="BK326"/>
    </row>
    <row r="327" spans="63:63">
      <c r="BK327"/>
    </row>
    <row r="328" spans="63:63">
      <c r="BK328"/>
    </row>
    <row r="329" spans="63:63">
      <c r="BK329"/>
    </row>
    <row r="330" spans="63:63">
      <c r="BK330"/>
    </row>
    <row r="331" spans="63:63">
      <c r="BK331"/>
    </row>
    <row r="332" spans="63:63">
      <c r="BK332"/>
    </row>
    <row r="333" spans="63:63">
      <c r="BK333"/>
    </row>
    <row r="334" spans="63:63">
      <c r="BK334"/>
    </row>
    <row r="335" spans="63:63">
      <c r="BK335"/>
    </row>
    <row r="336" spans="63:63">
      <c r="BK336"/>
    </row>
    <row r="337" spans="63:63">
      <c r="BK337"/>
    </row>
    <row r="338" spans="63:63">
      <c r="BK338"/>
    </row>
    <row r="339" spans="63:63">
      <c r="BK339"/>
    </row>
    <row r="340" spans="63:63">
      <c r="BK340"/>
    </row>
    <row r="341" spans="63:63">
      <c r="BK341"/>
    </row>
    <row r="342" spans="63:63">
      <c r="BK342"/>
    </row>
    <row r="343" spans="63:63">
      <c r="BK343"/>
    </row>
    <row r="344" spans="63:63">
      <c r="BK344"/>
    </row>
    <row r="345" spans="63:63">
      <c r="BK345"/>
    </row>
    <row r="346" spans="63:63">
      <c r="BK346"/>
    </row>
    <row r="347" spans="63:63">
      <c r="BK347"/>
    </row>
    <row r="348" spans="63:63">
      <c r="BK348"/>
    </row>
    <row r="349" spans="63:63">
      <c r="BK349"/>
    </row>
    <row r="350" spans="63:63">
      <c r="BK350"/>
    </row>
    <row r="351" spans="63:63">
      <c r="BK351"/>
    </row>
    <row r="352" spans="63:63">
      <c r="BK352"/>
    </row>
    <row r="353" spans="63:63">
      <c r="BK353"/>
    </row>
    <row r="354" spans="63:63">
      <c r="BK354"/>
    </row>
    <row r="355" spans="63:63">
      <c r="BK355"/>
    </row>
    <row r="356" spans="63:63">
      <c r="BK356"/>
    </row>
    <row r="357" spans="63:63">
      <c r="BK357"/>
    </row>
    <row r="358" spans="63:63">
      <c r="BK358"/>
    </row>
    <row r="359" spans="63:63">
      <c r="BK359"/>
    </row>
    <row r="360" spans="63:63">
      <c r="BK360"/>
    </row>
    <row r="361" spans="63:63">
      <c r="BK361"/>
    </row>
    <row r="362" spans="63:63">
      <c r="BK362"/>
    </row>
    <row r="363" spans="63:63">
      <c r="BK363"/>
    </row>
    <row r="364" spans="63:63">
      <c r="BK364"/>
    </row>
    <row r="365" spans="63:63">
      <c r="BK365"/>
    </row>
    <row r="366" spans="63:63">
      <c r="BK366"/>
    </row>
    <row r="367" spans="63:63">
      <c r="BK367"/>
    </row>
    <row r="368" spans="63:63">
      <c r="BK368"/>
    </row>
    <row r="369" spans="63:63">
      <c r="BK369"/>
    </row>
    <row r="370" spans="63:63">
      <c r="BK370"/>
    </row>
    <row r="371" spans="63:63">
      <c r="BK371"/>
    </row>
    <row r="372" spans="63:63">
      <c r="BK372"/>
    </row>
    <row r="373" spans="63:63">
      <c r="BK373"/>
    </row>
    <row r="374" spans="63:63">
      <c r="BK374"/>
    </row>
    <row r="375" spans="63:63">
      <c r="BK375"/>
    </row>
    <row r="376" spans="63:63">
      <c r="BK376"/>
    </row>
    <row r="377" spans="63:63">
      <c r="BK377"/>
    </row>
    <row r="378" spans="63:63">
      <c r="BK378"/>
    </row>
    <row r="379" spans="63:63">
      <c r="BK379"/>
    </row>
    <row r="380" spans="63:63">
      <c r="BK380"/>
    </row>
    <row r="381" spans="63:63">
      <c r="BK381"/>
    </row>
    <row r="382" spans="63:63">
      <c r="BK382"/>
    </row>
    <row r="383" spans="63:63">
      <c r="BK383"/>
    </row>
    <row r="384" spans="63:63">
      <c r="BK384"/>
    </row>
    <row r="385" spans="63:63">
      <c r="BK385"/>
    </row>
    <row r="386" spans="63:63">
      <c r="BK386"/>
    </row>
    <row r="387" spans="63:63">
      <c r="BK387"/>
    </row>
    <row r="388" spans="63:63">
      <c r="BK388"/>
    </row>
    <row r="389" spans="63:63">
      <c r="BK389"/>
    </row>
    <row r="390" spans="63:63">
      <c r="BK390"/>
    </row>
    <row r="391" spans="63:63">
      <c r="BK391"/>
    </row>
    <row r="392" spans="63:63">
      <c r="BK392"/>
    </row>
    <row r="393" spans="63:63">
      <c r="BK393"/>
    </row>
    <row r="394" spans="63:63">
      <c r="BK394"/>
    </row>
    <row r="395" spans="63:63">
      <c r="BK395"/>
    </row>
    <row r="396" spans="63:63">
      <c r="BK396"/>
    </row>
    <row r="397" spans="63:63">
      <c r="BK397"/>
    </row>
    <row r="398" spans="63:63">
      <c r="BK398"/>
    </row>
    <row r="399" spans="63:63">
      <c r="BK399"/>
    </row>
    <row r="400" spans="63:63">
      <c r="BK400"/>
    </row>
    <row r="401" spans="63:63">
      <c r="BK401"/>
    </row>
    <row r="402" spans="63:63">
      <c r="BK402"/>
    </row>
    <row r="403" spans="63:63">
      <c r="BK403"/>
    </row>
    <row r="404" spans="63:63">
      <c r="BK404"/>
    </row>
    <row r="405" spans="63:63">
      <c r="BK405"/>
    </row>
    <row r="406" spans="63:63">
      <c r="BK406"/>
    </row>
    <row r="407" spans="63:63">
      <c r="BK407"/>
    </row>
    <row r="408" spans="63:63">
      <c r="BK408"/>
    </row>
    <row r="409" spans="63:63">
      <c r="BK409"/>
    </row>
    <row r="410" spans="63:63">
      <c r="BK410"/>
    </row>
    <row r="411" spans="63:63">
      <c r="BK411"/>
    </row>
    <row r="412" spans="63:63">
      <c r="BK412"/>
    </row>
    <row r="413" spans="63:63">
      <c r="BK413"/>
    </row>
    <row r="414" spans="63:63">
      <c r="BK414"/>
    </row>
    <row r="415" spans="63:63">
      <c r="BK415"/>
    </row>
    <row r="416" spans="63:63">
      <c r="BK416"/>
    </row>
    <row r="417" spans="63:63">
      <c r="BK417"/>
    </row>
    <row r="418" spans="63:63">
      <c r="BK418"/>
    </row>
    <row r="419" spans="63:63">
      <c r="BK419"/>
    </row>
    <row r="420" spans="63:63">
      <c r="BK420"/>
    </row>
    <row r="421" spans="63:63">
      <c r="BK421"/>
    </row>
    <row r="422" spans="63:63">
      <c r="BK422"/>
    </row>
    <row r="423" spans="63:63">
      <c r="BK423"/>
    </row>
    <row r="424" spans="63:63">
      <c r="BK424"/>
    </row>
    <row r="425" spans="63:63">
      <c r="BK425"/>
    </row>
    <row r="426" spans="63:63">
      <c r="BK426"/>
    </row>
    <row r="427" spans="63:63">
      <c r="BK427"/>
    </row>
    <row r="428" spans="63:63">
      <c r="BK428"/>
    </row>
    <row r="429" spans="63:63">
      <c r="BK429"/>
    </row>
    <row r="430" spans="63:63">
      <c r="BK430"/>
    </row>
    <row r="431" spans="63:63">
      <c r="BK431"/>
    </row>
    <row r="432" spans="63:63">
      <c r="BK432"/>
    </row>
    <row r="433" spans="63:63">
      <c r="BK433"/>
    </row>
    <row r="434" spans="63:63">
      <c r="BK434"/>
    </row>
    <row r="435" spans="63:63">
      <c r="BK435"/>
    </row>
    <row r="436" spans="63:63">
      <c r="BK436"/>
    </row>
    <row r="437" spans="63:63">
      <c r="BK437"/>
    </row>
    <row r="438" spans="63:63">
      <c r="BK438"/>
    </row>
    <row r="439" spans="63:63">
      <c r="BK439"/>
    </row>
    <row r="440" spans="63:63">
      <c r="BK440"/>
    </row>
    <row r="441" spans="63:63">
      <c r="BK441"/>
    </row>
    <row r="442" spans="63:63">
      <c r="BK442"/>
    </row>
    <row r="443" spans="63:63">
      <c r="BK443"/>
    </row>
    <row r="444" spans="63:63">
      <c r="BK444"/>
    </row>
    <row r="445" spans="63:63">
      <c r="BK445"/>
    </row>
    <row r="446" spans="63:63">
      <c r="BK446"/>
    </row>
    <row r="447" spans="63:63">
      <c r="BK447"/>
    </row>
    <row r="448" spans="63:63">
      <c r="BK448"/>
    </row>
    <row r="449" spans="63:63">
      <c r="BK449"/>
    </row>
    <row r="450" spans="63:63">
      <c r="BK450"/>
    </row>
    <row r="451" spans="63:63">
      <c r="BK451"/>
    </row>
    <row r="452" spans="63:63">
      <c r="BK452"/>
    </row>
    <row r="453" spans="63:63">
      <c r="BK453"/>
    </row>
    <row r="454" spans="63:63">
      <c r="BK454"/>
    </row>
    <row r="455" spans="63:63">
      <c r="BK455"/>
    </row>
    <row r="456" spans="63:63">
      <c r="BK456"/>
    </row>
    <row r="457" spans="63:63">
      <c r="BK457"/>
    </row>
    <row r="458" spans="63:63">
      <c r="BK458"/>
    </row>
    <row r="459" spans="63:63">
      <c r="BK459"/>
    </row>
    <row r="460" spans="63:63">
      <c r="BK460"/>
    </row>
    <row r="461" spans="63:63">
      <c r="BK461"/>
    </row>
    <row r="462" spans="63:63">
      <c r="BK462"/>
    </row>
    <row r="463" spans="63:63">
      <c r="BK463"/>
    </row>
    <row r="464" spans="63:63">
      <c r="BK464"/>
    </row>
    <row r="465" spans="63:63">
      <c r="BK465"/>
    </row>
    <row r="466" spans="63:63">
      <c r="BK466"/>
    </row>
    <row r="467" spans="63:63">
      <c r="BK467"/>
    </row>
    <row r="468" spans="63:63">
      <c r="BK468"/>
    </row>
    <row r="469" spans="63:63">
      <c r="BK469"/>
    </row>
    <row r="470" spans="63:63">
      <c r="BK470"/>
    </row>
    <row r="471" spans="63:63">
      <c r="BK471"/>
    </row>
    <row r="472" spans="63:63">
      <c r="BK472"/>
    </row>
    <row r="473" spans="63:63">
      <c r="BK473"/>
    </row>
    <row r="474" spans="63:63">
      <c r="BK474"/>
    </row>
    <row r="475" spans="63:63">
      <c r="BK475"/>
    </row>
    <row r="476" spans="63:63">
      <c r="BK476"/>
    </row>
    <row r="477" spans="63:63">
      <c r="BK477"/>
    </row>
    <row r="478" spans="63:63">
      <c r="BK478"/>
    </row>
    <row r="479" spans="63:63">
      <c r="BK479"/>
    </row>
    <row r="480" spans="63:63">
      <c r="BK480"/>
    </row>
    <row r="481" spans="63:63">
      <c r="BK481"/>
    </row>
    <row r="482" spans="63:63">
      <c r="BK482"/>
    </row>
    <row r="483" spans="63:63">
      <c r="BK483"/>
    </row>
    <row r="484" spans="63:63">
      <c r="BK484"/>
    </row>
    <row r="485" spans="63:63">
      <c r="BK485"/>
    </row>
    <row r="486" spans="63:63">
      <c r="BK486"/>
    </row>
    <row r="487" spans="63:63">
      <c r="BK487"/>
    </row>
    <row r="488" spans="63:63">
      <c r="BK488"/>
    </row>
    <row r="489" spans="63:63">
      <c r="BK489"/>
    </row>
    <row r="490" spans="63:63">
      <c r="BK490"/>
    </row>
    <row r="491" spans="63:63">
      <c r="BK491"/>
    </row>
    <row r="492" spans="63:63">
      <c r="BK492"/>
    </row>
    <row r="493" spans="63:63">
      <c r="BK493"/>
    </row>
    <row r="494" spans="63:63">
      <c r="BK494"/>
    </row>
    <row r="495" spans="63:63">
      <c r="BK495"/>
    </row>
    <row r="496" spans="63:63">
      <c r="BK496"/>
    </row>
    <row r="497" spans="63:63">
      <c r="BK497"/>
    </row>
    <row r="498" spans="63:63">
      <c r="BK498"/>
    </row>
    <row r="499" spans="63:63">
      <c r="BK499"/>
    </row>
    <row r="500" spans="63:63">
      <c r="BK500"/>
    </row>
    <row r="501" spans="63:63">
      <c r="BK501"/>
    </row>
    <row r="502" spans="63:63">
      <c r="BK502"/>
    </row>
    <row r="503" spans="63:63">
      <c r="BK503"/>
    </row>
    <row r="504" spans="63:63">
      <c r="BK504"/>
    </row>
    <row r="505" spans="63:63">
      <c r="BK505"/>
    </row>
    <row r="506" spans="63:63">
      <c r="BK506"/>
    </row>
    <row r="507" spans="63:63">
      <c r="BK507"/>
    </row>
    <row r="508" spans="63:63">
      <c r="BK508"/>
    </row>
    <row r="509" spans="63:63">
      <c r="BK509"/>
    </row>
    <row r="510" spans="63:63">
      <c r="BK510"/>
    </row>
    <row r="511" spans="63:63">
      <c r="BK511"/>
    </row>
    <row r="512" spans="63:63">
      <c r="BK512"/>
    </row>
    <row r="513" spans="63:63">
      <c r="BK513"/>
    </row>
    <row r="514" spans="63:63">
      <c r="BK514"/>
    </row>
    <row r="515" spans="63:63">
      <c r="BK515"/>
    </row>
    <row r="516" spans="63:63">
      <c r="BK516"/>
    </row>
    <row r="517" spans="63:63">
      <c r="BK517"/>
    </row>
    <row r="518" spans="63:63">
      <c r="BK518"/>
    </row>
    <row r="519" spans="63:63">
      <c r="BK519"/>
    </row>
    <row r="520" spans="63:63">
      <c r="BK520"/>
    </row>
    <row r="521" spans="63:63">
      <c r="BK521"/>
    </row>
    <row r="522" spans="63:63">
      <c r="BK522"/>
    </row>
    <row r="523" spans="63:63">
      <c r="BK523"/>
    </row>
    <row r="524" spans="63:63">
      <c r="BK524"/>
    </row>
    <row r="525" spans="63:63">
      <c r="BK525"/>
    </row>
    <row r="526" spans="63:63">
      <c r="BK526"/>
    </row>
    <row r="527" spans="63:63">
      <c r="BK527"/>
    </row>
    <row r="528" spans="63:63">
      <c r="BK528"/>
    </row>
    <row r="529" spans="63:63">
      <c r="BK529"/>
    </row>
    <row r="530" spans="63:63">
      <c r="BK530"/>
    </row>
    <row r="531" spans="63:63">
      <c r="BK531"/>
    </row>
    <row r="532" spans="63:63">
      <c r="BK532"/>
    </row>
    <row r="533" spans="63:63">
      <c r="BK533"/>
    </row>
    <row r="534" spans="63:63">
      <c r="BK534"/>
    </row>
    <row r="535" spans="63:63">
      <c r="BK535"/>
    </row>
    <row r="536" spans="63:63">
      <c r="BK536"/>
    </row>
    <row r="537" spans="63:63">
      <c r="BK537"/>
    </row>
    <row r="538" spans="63:63">
      <c r="BK538"/>
    </row>
    <row r="539" spans="63:63">
      <c r="BK539"/>
    </row>
    <row r="540" spans="63:63">
      <c r="BK540"/>
    </row>
    <row r="541" spans="63:63">
      <c r="BK541"/>
    </row>
    <row r="542" spans="63:63">
      <c r="BK542"/>
    </row>
    <row r="543" spans="63:63">
      <c r="BK543"/>
    </row>
    <row r="544" spans="63:63">
      <c r="BK544"/>
    </row>
    <row r="545" spans="63:63">
      <c r="BK545"/>
    </row>
    <row r="546" spans="63:63">
      <c r="BK546"/>
    </row>
    <row r="547" spans="63:63">
      <c r="BK547"/>
    </row>
    <row r="548" spans="63:63">
      <c r="BK548"/>
    </row>
    <row r="549" spans="63:63">
      <c r="BK549"/>
    </row>
    <row r="550" spans="63:63">
      <c r="BK550"/>
    </row>
    <row r="551" spans="63:63">
      <c r="BK551"/>
    </row>
    <row r="552" spans="63:63">
      <c r="BK552"/>
    </row>
    <row r="553" spans="63:63">
      <c r="BK553"/>
    </row>
    <row r="554" spans="63:63">
      <c r="BK554"/>
    </row>
    <row r="555" spans="63:63">
      <c r="BK555"/>
    </row>
    <row r="556" spans="63:63">
      <c r="BK556"/>
    </row>
    <row r="557" spans="63:63">
      <c r="BK557"/>
    </row>
    <row r="558" spans="63:63">
      <c r="BK558"/>
    </row>
    <row r="559" spans="63:63">
      <c r="BK559"/>
    </row>
    <row r="560" spans="63:63">
      <c r="BK560"/>
    </row>
    <row r="561" spans="63:63">
      <c r="BK561"/>
    </row>
    <row r="562" spans="63:63">
      <c r="BK562"/>
    </row>
    <row r="563" spans="63:63">
      <c r="BK563"/>
    </row>
    <row r="564" spans="63:63">
      <c r="BK564"/>
    </row>
    <row r="565" spans="63:63">
      <c r="BK565"/>
    </row>
    <row r="566" spans="63:63">
      <c r="BK566"/>
    </row>
    <row r="567" spans="63:63">
      <c r="BK567"/>
    </row>
    <row r="568" spans="63:63">
      <c r="BK568"/>
    </row>
    <row r="569" spans="63:63">
      <c r="BK569"/>
    </row>
    <row r="570" spans="63:63">
      <c r="BK570"/>
    </row>
    <row r="571" spans="63:63">
      <c r="BK571"/>
    </row>
    <row r="572" spans="63:63">
      <c r="BK572"/>
    </row>
    <row r="573" spans="63:63">
      <c r="BK573"/>
    </row>
    <row r="574" spans="63:63">
      <c r="BK574"/>
    </row>
    <row r="575" spans="63:63">
      <c r="BK575"/>
    </row>
    <row r="576" spans="63:63">
      <c r="BK576"/>
    </row>
    <row r="577" spans="63:63">
      <c r="BK577"/>
    </row>
    <row r="578" spans="63:63">
      <c r="BK578"/>
    </row>
    <row r="579" spans="63:63">
      <c r="BK579"/>
    </row>
    <row r="580" spans="63:63">
      <c r="BK580"/>
    </row>
    <row r="581" spans="63:63">
      <c r="BK581"/>
    </row>
    <row r="582" spans="63:63">
      <c r="BK582"/>
    </row>
    <row r="583" spans="63:63">
      <c r="BK583"/>
    </row>
    <row r="584" spans="63:63">
      <c r="BK584"/>
    </row>
    <row r="585" spans="63:63">
      <c r="BK585"/>
    </row>
    <row r="586" spans="63:63">
      <c r="BK586"/>
    </row>
    <row r="587" spans="63:63">
      <c r="BK587"/>
    </row>
    <row r="588" spans="63:63">
      <c r="BK588"/>
    </row>
    <row r="589" spans="63:63">
      <c r="BK589"/>
    </row>
    <row r="590" spans="63:63">
      <c r="BK590"/>
    </row>
    <row r="591" spans="63:63">
      <c r="BK591"/>
    </row>
    <row r="592" spans="63:63">
      <c r="BK592"/>
    </row>
    <row r="593" spans="63:63">
      <c r="BK593"/>
    </row>
    <row r="594" spans="63:63">
      <c r="BK594"/>
    </row>
    <row r="595" spans="63:63">
      <c r="BK595"/>
    </row>
    <row r="596" spans="63:63">
      <c r="BK596"/>
    </row>
    <row r="597" spans="63:63">
      <c r="BK597"/>
    </row>
    <row r="598" spans="63:63">
      <c r="BK598"/>
    </row>
    <row r="599" spans="63:63">
      <c r="BK599"/>
    </row>
    <row r="600" spans="63:63">
      <c r="BK600"/>
    </row>
    <row r="601" spans="63:63">
      <c r="BK601"/>
    </row>
    <row r="602" spans="63:63">
      <c r="BK602"/>
    </row>
    <row r="603" spans="63:63">
      <c r="BK603"/>
    </row>
    <row r="604" spans="63:63">
      <c r="BK604"/>
    </row>
    <row r="605" spans="63:63">
      <c r="BK605"/>
    </row>
    <row r="606" spans="63:63">
      <c r="BK606"/>
    </row>
    <row r="607" spans="63:63">
      <c r="BK607"/>
    </row>
    <row r="608" spans="63:63">
      <c r="BK608"/>
    </row>
    <row r="609" spans="63:63">
      <c r="BK609"/>
    </row>
    <row r="610" spans="63:63">
      <c r="BK610"/>
    </row>
    <row r="611" spans="63:63">
      <c r="BK611"/>
    </row>
    <row r="612" spans="63:63">
      <c r="BK612"/>
    </row>
    <row r="613" spans="63:63">
      <c r="BK613"/>
    </row>
    <row r="614" spans="63:63">
      <c r="BK614"/>
    </row>
    <row r="615" spans="63:63">
      <c r="BK615"/>
    </row>
    <row r="616" spans="63:63">
      <c r="BK616"/>
    </row>
    <row r="617" spans="63:63">
      <c r="BK617"/>
    </row>
    <row r="618" spans="63:63">
      <c r="BK618"/>
    </row>
    <row r="619" spans="63:63">
      <c r="BK619"/>
    </row>
    <row r="620" spans="63:63">
      <c r="BK620"/>
    </row>
    <row r="621" spans="63:63">
      <c r="BK621"/>
    </row>
    <row r="622" spans="63:63">
      <c r="BK622"/>
    </row>
    <row r="623" spans="63:63">
      <c r="BK623"/>
    </row>
    <row r="624" spans="63:63">
      <c r="BK624"/>
    </row>
    <row r="625" spans="63:63">
      <c r="BK625"/>
    </row>
    <row r="626" spans="63:63">
      <c r="BK626"/>
    </row>
    <row r="627" spans="63:63">
      <c r="BK627"/>
    </row>
    <row r="628" spans="63:63">
      <c r="BK628"/>
    </row>
    <row r="629" spans="63:63">
      <c r="BK629"/>
    </row>
    <row r="630" spans="63:63">
      <c r="BK630"/>
    </row>
    <row r="631" spans="63:63">
      <c r="BK631"/>
    </row>
    <row r="632" spans="63:63">
      <c r="BK632"/>
    </row>
    <row r="633" spans="63:63">
      <c r="BK633"/>
    </row>
    <row r="634" spans="63:63">
      <c r="BK634"/>
    </row>
    <row r="635" spans="63:63">
      <c r="BK635"/>
    </row>
    <row r="636" spans="63:63">
      <c r="BK636"/>
    </row>
    <row r="637" spans="63:63">
      <c r="BK637"/>
    </row>
    <row r="638" spans="63:63">
      <c r="BK638"/>
    </row>
    <row r="639" spans="63:63">
      <c r="BK639"/>
    </row>
    <row r="640" spans="63:63">
      <c r="BK640"/>
    </row>
    <row r="641" spans="63:63">
      <c r="BK641"/>
    </row>
    <row r="642" spans="63:63">
      <c r="BK642"/>
    </row>
    <row r="643" spans="63:63">
      <c r="BK643"/>
    </row>
    <row r="644" spans="63:63">
      <c r="BK644"/>
    </row>
    <row r="645" spans="63:63">
      <c r="BK645"/>
    </row>
    <row r="646" spans="63:63">
      <c r="BK646"/>
    </row>
    <row r="647" spans="63:63">
      <c r="BK647"/>
    </row>
    <row r="648" spans="63:63">
      <c r="BK648"/>
    </row>
    <row r="649" spans="63:63">
      <c r="BK649"/>
    </row>
    <row r="650" spans="63:63">
      <c r="BK650"/>
    </row>
    <row r="651" spans="63:63">
      <c r="BK651"/>
    </row>
    <row r="652" spans="63:63">
      <c r="BK652"/>
    </row>
    <row r="653" spans="63:63">
      <c r="BK653"/>
    </row>
    <row r="654" spans="63:63">
      <c r="BK654"/>
    </row>
    <row r="655" spans="63:63">
      <c r="BK655"/>
    </row>
    <row r="656" spans="63:63">
      <c r="BK656"/>
    </row>
    <row r="657" spans="63:63">
      <c r="BK657"/>
    </row>
    <row r="658" spans="63:63">
      <c r="BK658"/>
    </row>
    <row r="659" spans="63:63">
      <c r="BK659"/>
    </row>
    <row r="660" spans="63:63">
      <c r="BK660"/>
    </row>
    <row r="661" spans="63:63">
      <c r="BK661"/>
    </row>
    <row r="662" spans="63:63">
      <c r="BK662"/>
    </row>
    <row r="663" spans="63:63">
      <c r="BK663"/>
    </row>
    <row r="664" spans="63:63">
      <c r="BK664"/>
    </row>
    <row r="665" spans="63:63">
      <c r="BK665"/>
    </row>
    <row r="666" spans="63:63">
      <c r="BK666"/>
    </row>
    <row r="667" spans="63:63">
      <c r="BK667"/>
    </row>
    <row r="668" spans="63:63">
      <c r="BK668"/>
    </row>
    <row r="669" spans="63:63">
      <c r="BK669"/>
    </row>
    <row r="670" spans="63:63">
      <c r="BK670"/>
    </row>
    <row r="671" spans="63:63">
      <c r="BK671"/>
    </row>
    <row r="672" spans="63:63">
      <c r="BK672"/>
    </row>
    <row r="673" spans="63:63">
      <c r="BK673"/>
    </row>
    <row r="674" spans="63:63">
      <c r="BK674"/>
    </row>
  </sheetData>
  <phoneticPr fontId="169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B303"/>
  <sheetViews>
    <sheetView zoomScale="77" zoomScaleNormal="115" workbookViewId="0">
      <pane xSplit="2" ySplit="3" topLeftCell="BG110" activePane="bottomRight" state="frozen"/>
      <selection pane="topRight" activeCell="C1" sqref="C1"/>
      <selection pane="bottomLeft" activeCell="A4" sqref="A4"/>
      <selection pane="bottomRight" activeCell="BR126" sqref="BR126"/>
    </sheetView>
  </sheetViews>
  <sheetFormatPr defaultRowHeight="14.4" outlineLevelRow="1" outlineLevelCol="1"/>
  <cols>
    <col min="2" max="2" width="43" customWidth="1"/>
    <col min="3" max="3" width="9.15625" customWidth="1"/>
    <col min="21" max="81" width="9.15625" customWidth="1"/>
    <col min="82" max="97" width="9.15625" customWidth="1" outlineLevel="1"/>
    <col min="98" max="109" width="9" customWidth="1"/>
  </cols>
  <sheetData>
    <row r="1" spans="2:132">
      <c r="AA1" t="s">
        <v>38</v>
      </c>
    </row>
    <row r="3" spans="2:132">
      <c r="B3" s="12" t="s">
        <v>722</v>
      </c>
      <c r="C3" s="13" t="s">
        <v>389</v>
      </c>
      <c r="D3" s="13" t="s">
        <v>390</v>
      </c>
      <c r="E3" s="13" t="s">
        <v>391</v>
      </c>
      <c r="F3" s="13" t="s">
        <v>392</v>
      </c>
      <c r="G3" s="13" t="s">
        <v>384</v>
      </c>
      <c r="H3" s="13" t="s">
        <v>385</v>
      </c>
      <c r="I3" s="13" t="s">
        <v>386</v>
      </c>
      <c r="J3" s="13" t="s">
        <v>387</v>
      </c>
      <c r="K3" s="13" t="s">
        <v>6</v>
      </c>
      <c r="L3" s="13" t="s">
        <v>7</v>
      </c>
      <c r="M3" s="13" t="s">
        <v>8</v>
      </c>
      <c r="N3" s="13" t="s">
        <v>9</v>
      </c>
      <c r="O3" s="13" t="s">
        <v>10</v>
      </c>
      <c r="P3" s="13" t="s">
        <v>11</v>
      </c>
      <c r="Q3" s="13" t="s">
        <v>12</v>
      </c>
      <c r="R3" s="13" t="s">
        <v>13</v>
      </c>
      <c r="S3" s="13" t="s">
        <v>14</v>
      </c>
      <c r="T3" s="13" t="s">
        <v>15</v>
      </c>
      <c r="U3" s="13" t="s">
        <v>16</v>
      </c>
      <c r="V3" s="13" t="s">
        <v>362</v>
      </c>
      <c r="W3" s="13" t="s">
        <v>603</v>
      </c>
      <c r="X3" s="13" t="s">
        <v>405</v>
      </c>
      <c r="Y3" s="13" t="s">
        <v>406</v>
      </c>
      <c r="Z3" s="13" t="s">
        <v>407</v>
      </c>
      <c r="AA3" s="13" t="s">
        <v>730</v>
      </c>
      <c r="AB3" s="13" t="s">
        <v>408</v>
      </c>
      <c r="AC3" s="13" t="s">
        <v>409</v>
      </c>
      <c r="AD3" s="13" t="s">
        <v>410</v>
      </c>
      <c r="AE3" s="13" t="s">
        <v>411</v>
      </c>
      <c r="AF3" s="13" t="s">
        <v>1106</v>
      </c>
      <c r="AG3" s="13" t="s">
        <v>1191</v>
      </c>
      <c r="AH3" s="13" t="s">
        <v>1255</v>
      </c>
      <c r="AI3" s="13" t="s">
        <v>1269</v>
      </c>
      <c r="AJ3" s="13" t="s">
        <v>1270</v>
      </c>
      <c r="AK3" s="13" t="s">
        <v>1640</v>
      </c>
      <c r="AL3" s="13" t="s">
        <v>1710</v>
      </c>
      <c r="AM3" s="13" t="s">
        <v>1725</v>
      </c>
      <c r="AN3" s="13" t="s">
        <v>1745</v>
      </c>
      <c r="AO3" s="13" t="s">
        <v>1750</v>
      </c>
      <c r="AP3" s="13" t="s">
        <v>1798</v>
      </c>
      <c r="AQ3" s="13" t="s">
        <v>1844</v>
      </c>
      <c r="AR3" s="13" t="s">
        <v>1845</v>
      </c>
      <c r="AS3" s="13" t="s">
        <v>2015</v>
      </c>
      <c r="AT3" s="13" t="s">
        <v>2050</v>
      </c>
      <c r="AU3" s="13" t="s">
        <v>2052</v>
      </c>
      <c r="AV3" s="13" t="s">
        <v>2053</v>
      </c>
      <c r="AW3" s="13" t="s">
        <v>2064</v>
      </c>
      <c r="AX3" s="13" t="s">
        <v>2065</v>
      </c>
      <c r="AY3" s="13" t="s">
        <v>2203</v>
      </c>
      <c r="AZ3" s="13" t="s">
        <v>2246</v>
      </c>
      <c r="BA3" s="13" t="s">
        <v>2424</v>
      </c>
      <c r="BB3" s="13" t="s">
        <v>2498</v>
      </c>
      <c r="BC3" s="13" t="s">
        <v>2705</v>
      </c>
      <c r="BD3" s="13" t="s">
        <v>2727</v>
      </c>
      <c r="BE3" s="13" t="s">
        <v>2797</v>
      </c>
      <c r="BF3" s="13" t="s">
        <v>2819</v>
      </c>
      <c r="BG3" s="13" t="s">
        <v>2904</v>
      </c>
      <c r="BH3" s="13" t="s">
        <v>2907</v>
      </c>
      <c r="BI3" s="13" t="s">
        <v>2928</v>
      </c>
      <c r="BJ3" s="13" t="s">
        <v>2929</v>
      </c>
      <c r="BK3" s="13" t="s">
        <v>2931</v>
      </c>
      <c r="BL3" s="13" t="s">
        <v>2934</v>
      </c>
      <c r="BM3" s="13" t="s">
        <v>2933</v>
      </c>
      <c r="BN3" s="13" t="s">
        <v>2932</v>
      </c>
      <c r="BO3" s="13" t="s">
        <v>3209</v>
      </c>
      <c r="BP3" s="13" t="s">
        <v>3274</v>
      </c>
      <c r="BQ3" s="13" t="s">
        <v>3275</v>
      </c>
      <c r="BR3" s="13" t="s">
        <v>3317</v>
      </c>
      <c r="BS3" s="13"/>
      <c r="BT3" s="13"/>
      <c r="BU3" s="13"/>
      <c r="BV3" s="13"/>
      <c r="BW3" s="13"/>
      <c r="BX3" s="13"/>
      <c r="BY3" s="13"/>
      <c r="BZ3" s="13" t="str">
        <f t="shared" ref="BZ3:DE3" si="0">O3</f>
        <v>Q1 10</v>
      </c>
      <c r="CA3" s="13" t="str">
        <f t="shared" si="0"/>
        <v>Q2 10</v>
      </c>
      <c r="CB3" s="13" t="str">
        <f t="shared" si="0"/>
        <v>Q3 10</v>
      </c>
      <c r="CC3" s="13" t="str">
        <f t="shared" si="0"/>
        <v>Q4 10</v>
      </c>
      <c r="CD3" s="13" t="str">
        <f t="shared" si="0"/>
        <v>Q1 11</v>
      </c>
      <c r="CE3" s="13" t="str">
        <f t="shared" si="0"/>
        <v>Q2 11</v>
      </c>
      <c r="CF3" s="13" t="str">
        <f t="shared" si="0"/>
        <v>Q3 11</v>
      </c>
      <c r="CG3" s="13" t="str">
        <f t="shared" si="0"/>
        <v>Q4 11</v>
      </c>
      <c r="CH3" s="13" t="str">
        <f t="shared" si="0"/>
        <v>Q1 12</v>
      </c>
      <c r="CI3" s="13" t="str">
        <f t="shared" si="0"/>
        <v>Q2 12</v>
      </c>
      <c r="CJ3" s="13" t="str">
        <f t="shared" si="0"/>
        <v>Q3 12</v>
      </c>
      <c r="CK3" s="13" t="str">
        <f t="shared" si="0"/>
        <v>Q4 12</v>
      </c>
      <c r="CL3" s="13" t="str">
        <f t="shared" si="0"/>
        <v>Q1 13</v>
      </c>
      <c r="CM3" s="13" t="str">
        <f t="shared" si="0"/>
        <v>Q2 13</v>
      </c>
      <c r="CN3" s="13" t="str">
        <f t="shared" si="0"/>
        <v>Q3 13</v>
      </c>
      <c r="CO3" s="13" t="str">
        <f t="shared" si="0"/>
        <v>Q4 13</v>
      </c>
      <c r="CP3" s="13" t="str">
        <f t="shared" si="0"/>
        <v>Q1 14</v>
      </c>
      <c r="CQ3" s="13" t="str">
        <f t="shared" si="0"/>
        <v>Q2 14</v>
      </c>
      <c r="CR3" s="13" t="str">
        <f t="shared" si="0"/>
        <v>Q3 14</v>
      </c>
      <c r="CS3" s="13" t="str">
        <f t="shared" si="0"/>
        <v>Q4 14</v>
      </c>
      <c r="CT3" s="13" t="str">
        <f t="shared" si="0"/>
        <v>Q1 15</v>
      </c>
      <c r="CU3" s="13" t="str">
        <f t="shared" si="0"/>
        <v>Q2 15</v>
      </c>
      <c r="CV3" s="13" t="str">
        <f t="shared" si="0"/>
        <v>Q3 15</v>
      </c>
      <c r="CW3" s="13" t="str">
        <f t="shared" si="0"/>
        <v>Q4 15</v>
      </c>
      <c r="CX3" s="13" t="str">
        <f t="shared" si="0"/>
        <v>Q1 16</v>
      </c>
      <c r="CY3" s="13" t="str">
        <f t="shared" si="0"/>
        <v>Q2 16</v>
      </c>
      <c r="CZ3" s="13" t="str">
        <f t="shared" si="0"/>
        <v>Q3 16</v>
      </c>
      <c r="DA3" s="13" t="str">
        <f t="shared" si="0"/>
        <v>Q4 16</v>
      </c>
      <c r="DB3" s="13" t="str">
        <f t="shared" si="0"/>
        <v>Q1 17</v>
      </c>
      <c r="DC3" s="13" t="str">
        <f t="shared" si="0"/>
        <v>Q2 17</v>
      </c>
      <c r="DD3" s="13" t="str">
        <f t="shared" si="0"/>
        <v>Q3 17</v>
      </c>
      <c r="DE3" s="13" t="str">
        <f t="shared" si="0"/>
        <v>Q4 17</v>
      </c>
      <c r="DF3" s="13" t="str">
        <f t="shared" ref="DF3:EA3" si="1">AU3</f>
        <v>Q1 18</v>
      </c>
      <c r="DG3" s="13" t="str">
        <f t="shared" si="1"/>
        <v>Q2 18</v>
      </c>
      <c r="DH3" s="13" t="str">
        <f t="shared" si="1"/>
        <v>Q3 18</v>
      </c>
      <c r="DI3" s="13" t="str">
        <f t="shared" si="1"/>
        <v>Q4 18</v>
      </c>
      <c r="DJ3" s="13" t="str">
        <f t="shared" si="1"/>
        <v>Q1 19</v>
      </c>
      <c r="DK3" s="13" t="str">
        <f t="shared" si="1"/>
        <v>Q2 19</v>
      </c>
      <c r="DL3" s="13" t="str">
        <f t="shared" si="1"/>
        <v>Q3 19</v>
      </c>
      <c r="DM3" s="13" t="str">
        <f t="shared" si="1"/>
        <v>Q4 19</v>
      </c>
      <c r="DN3" s="13" t="str">
        <f t="shared" si="1"/>
        <v>Q1 20</v>
      </c>
      <c r="DO3" s="13" t="str">
        <f t="shared" si="1"/>
        <v>Q2 20</v>
      </c>
      <c r="DP3" s="13" t="str">
        <f t="shared" si="1"/>
        <v>Q3 20</v>
      </c>
      <c r="DQ3" s="13" t="str">
        <f t="shared" si="1"/>
        <v>Q4 20</v>
      </c>
      <c r="DR3" s="13" t="str">
        <f t="shared" si="1"/>
        <v>Q1 21</v>
      </c>
      <c r="DS3" s="13" t="str">
        <f t="shared" si="1"/>
        <v>Q2 21</v>
      </c>
      <c r="DT3" s="13" t="str">
        <f t="shared" si="1"/>
        <v>Q3 21</v>
      </c>
      <c r="DU3" s="13" t="str">
        <f t="shared" si="1"/>
        <v>Q4 21</v>
      </c>
      <c r="DV3" s="13" t="str">
        <f t="shared" si="1"/>
        <v>Q1 22</v>
      </c>
      <c r="DW3" s="13" t="str">
        <f t="shared" si="1"/>
        <v>Q2 22</v>
      </c>
      <c r="DX3" s="13" t="str">
        <f t="shared" si="1"/>
        <v>Q3 22</v>
      </c>
      <c r="DY3" s="13" t="str">
        <f t="shared" si="1"/>
        <v>Q4 22</v>
      </c>
      <c r="DZ3" s="13" t="str">
        <f t="shared" si="1"/>
        <v>Q1 23</v>
      </c>
      <c r="EA3" s="13" t="str">
        <f t="shared" si="1"/>
        <v>Q2 23</v>
      </c>
    </row>
    <row r="4" spans="2:132">
      <c r="B4" s="3" t="s">
        <v>0</v>
      </c>
      <c r="C4" s="87">
        <v>5129</v>
      </c>
      <c r="D4" s="87">
        <v>5287</v>
      </c>
      <c r="E4" s="87">
        <v>5419</v>
      </c>
      <c r="F4" s="87">
        <v>5638</v>
      </c>
      <c r="G4" s="87">
        <v>5769</v>
      </c>
      <c r="H4" s="87">
        <v>5822</v>
      </c>
      <c r="I4" s="87">
        <v>5851</v>
      </c>
      <c r="J4" s="87">
        <v>6001</v>
      </c>
      <c r="K4" s="87">
        <v>5939</v>
      </c>
      <c r="L4" s="87">
        <v>5953</v>
      </c>
      <c r="M4" s="87">
        <v>6126</v>
      </c>
      <c r="N4" s="87">
        <v>6457</v>
      </c>
      <c r="O4" s="87">
        <v>6592</v>
      </c>
      <c r="P4" s="87">
        <v>6784</v>
      </c>
      <c r="Q4" s="87">
        <v>6954</v>
      </c>
      <c r="R4" s="87">
        <v>7568</v>
      </c>
      <c r="S4" s="87">
        <v>7831</v>
      </c>
      <c r="T4" s="87">
        <v>8268</v>
      </c>
      <c r="U4" s="87">
        <v>8569</v>
      </c>
      <c r="V4" s="87">
        <v>9183</v>
      </c>
      <c r="W4" s="87">
        <v>9748</v>
      </c>
      <c r="X4" s="87">
        <v>9815</v>
      </c>
      <c r="Y4" s="87">
        <v>9890</v>
      </c>
      <c r="Z4" s="87">
        <v>10106</v>
      </c>
      <c r="AA4" s="87">
        <v>10133</v>
      </c>
      <c r="AB4" s="87">
        <v>10141</v>
      </c>
      <c r="AC4" s="87">
        <v>10249</v>
      </c>
      <c r="AD4" s="87">
        <f>11985-1556</f>
        <v>10429</v>
      </c>
      <c r="AE4" s="87">
        <f>11732-1493</f>
        <v>10239</v>
      </c>
      <c r="AF4" s="87">
        <v>10167</v>
      </c>
      <c r="AG4" s="87">
        <f>11591-1480</f>
        <v>10111</v>
      </c>
      <c r="AH4" s="87">
        <f>11841-1738</f>
        <v>10103</v>
      </c>
      <c r="AI4" s="266">
        <f>11969-1960</f>
        <v>10009</v>
      </c>
      <c r="AJ4" s="266">
        <f>11897-2000</f>
        <v>9897</v>
      </c>
      <c r="AK4" s="266">
        <f>12298-2543</f>
        <v>9755</v>
      </c>
      <c r="AL4" s="266">
        <f>12900-3129</f>
        <v>9771</v>
      </c>
      <c r="AM4" s="266">
        <f>13580-3688</f>
        <v>9892</v>
      </c>
      <c r="AN4" s="266">
        <f>13890-4189</f>
        <v>9701</v>
      </c>
      <c r="AO4" s="266">
        <f>13997-4508</f>
        <v>9489</v>
      </c>
      <c r="AP4" s="266">
        <f>14323-4809</f>
        <v>9514</v>
      </c>
      <c r="AQ4" s="266">
        <f>14521-5121</f>
        <v>9400</v>
      </c>
      <c r="AR4" s="266">
        <f>14639-5759</f>
        <v>8880</v>
      </c>
      <c r="AS4" s="266">
        <f>14969-6194</f>
        <v>8775</v>
      </c>
      <c r="AT4" s="266">
        <f>15540-6543</f>
        <v>8997</v>
      </c>
      <c r="AU4" s="87">
        <v>9272</v>
      </c>
      <c r="AV4" s="87">
        <f>AV7+AV8+AV9</f>
        <v>9332</v>
      </c>
      <c r="AW4" s="87">
        <f>AW7+AW8+AW9</f>
        <v>9080</v>
      </c>
      <c r="AX4" s="87">
        <f>AX7+AX8+AX9</f>
        <v>9260</v>
      </c>
      <c r="AY4" s="87">
        <v>9357</v>
      </c>
      <c r="AZ4" s="87">
        <f>17178-7887</f>
        <v>9291</v>
      </c>
      <c r="BA4" s="87">
        <v>9239</v>
      </c>
      <c r="BB4" s="87">
        <v>9092</v>
      </c>
      <c r="BC4" s="87">
        <v>8986</v>
      </c>
      <c r="BD4" s="87">
        <v>8775</v>
      </c>
      <c r="BE4" s="87">
        <v>9209</v>
      </c>
      <c r="BF4" s="87">
        <v>9300</v>
      </c>
      <c r="BG4" s="87">
        <v>9566</v>
      </c>
      <c r="BH4" s="87">
        <v>9802</v>
      </c>
      <c r="BI4" s="87">
        <v>9952</v>
      </c>
      <c r="BJ4" s="87">
        <v>10166</v>
      </c>
      <c r="BK4" s="87">
        <v>10298</v>
      </c>
      <c r="BL4" s="87">
        <v>10150</v>
      </c>
      <c r="BM4" s="87">
        <v>10176</v>
      </c>
      <c r="BN4" s="87">
        <f>BN6+BN9</f>
        <v>10421</v>
      </c>
      <c r="BO4" s="87">
        <f>BO6+BO9</f>
        <v>10527</v>
      </c>
      <c r="BP4" s="87">
        <f>BP6+BP9</f>
        <v>10467</v>
      </c>
      <c r="BQ4" s="87">
        <f>BQ6+BQ9</f>
        <v>10657</v>
      </c>
      <c r="BR4" s="87">
        <f>BR6+BR9</f>
        <v>10594</v>
      </c>
      <c r="BS4" s="87"/>
      <c r="BT4" s="87"/>
      <c r="BU4" s="87"/>
      <c r="BV4" s="87"/>
      <c r="BW4" s="7"/>
      <c r="BX4" s="7"/>
      <c r="BY4" s="7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</row>
    <row r="5" spans="2:132">
      <c r="B5" s="3" t="s">
        <v>88</v>
      </c>
      <c r="C5" s="87"/>
      <c r="D5" s="87"/>
      <c r="E5" s="87"/>
      <c r="F5" s="87"/>
      <c r="G5" s="87"/>
      <c r="H5" s="87">
        <f t="shared" ref="H5:M5" si="2">H4-G4</f>
        <v>53</v>
      </c>
      <c r="I5" s="87">
        <f t="shared" si="2"/>
        <v>29</v>
      </c>
      <c r="J5" s="87">
        <f t="shared" si="2"/>
        <v>150</v>
      </c>
      <c r="K5" s="87">
        <f t="shared" si="2"/>
        <v>-62</v>
      </c>
      <c r="L5" s="87">
        <f t="shared" si="2"/>
        <v>14</v>
      </c>
      <c r="M5" s="87">
        <f t="shared" si="2"/>
        <v>173</v>
      </c>
      <c r="N5" s="87">
        <f>N4-M4</f>
        <v>331</v>
      </c>
      <c r="O5" s="87">
        <f>O4-N4</f>
        <v>135</v>
      </c>
      <c r="P5" s="87">
        <f t="shared" ref="P5:V5" si="3">P4-O4</f>
        <v>192</v>
      </c>
      <c r="Q5" s="87">
        <f t="shared" si="3"/>
        <v>170</v>
      </c>
      <c r="R5" s="87">
        <f t="shared" si="3"/>
        <v>614</v>
      </c>
      <c r="S5" s="87">
        <f>S4-R4</f>
        <v>263</v>
      </c>
      <c r="T5" s="87">
        <f t="shared" si="3"/>
        <v>437</v>
      </c>
      <c r="U5" s="87">
        <f t="shared" si="3"/>
        <v>301</v>
      </c>
      <c r="V5" s="87">
        <f t="shared" si="3"/>
        <v>614</v>
      </c>
      <c r="W5" s="87">
        <f t="shared" ref="W5:BB5" si="4">W4-V4</f>
        <v>565</v>
      </c>
      <c r="X5" s="87">
        <f t="shared" si="4"/>
        <v>67</v>
      </c>
      <c r="Y5" s="87">
        <f t="shared" si="4"/>
        <v>75</v>
      </c>
      <c r="Z5" s="87">
        <f t="shared" si="4"/>
        <v>216</v>
      </c>
      <c r="AA5" s="87">
        <f t="shared" si="4"/>
        <v>27</v>
      </c>
      <c r="AB5" s="87">
        <f t="shared" si="4"/>
        <v>8</v>
      </c>
      <c r="AC5" s="87">
        <f t="shared" si="4"/>
        <v>108</v>
      </c>
      <c r="AD5" s="87">
        <f t="shared" si="4"/>
        <v>180</v>
      </c>
      <c r="AE5" s="87">
        <f t="shared" si="4"/>
        <v>-190</v>
      </c>
      <c r="AF5" s="87">
        <f t="shared" si="4"/>
        <v>-72</v>
      </c>
      <c r="AG5" s="87">
        <f t="shared" si="4"/>
        <v>-56</v>
      </c>
      <c r="AH5" s="87">
        <f t="shared" si="4"/>
        <v>-8</v>
      </c>
      <c r="AI5" s="87">
        <f t="shared" si="4"/>
        <v>-94</v>
      </c>
      <c r="AJ5" s="87">
        <f t="shared" si="4"/>
        <v>-112</v>
      </c>
      <c r="AK5" s="87">
        <f t="shared" si="4"/>
        <v>-142</v>
      </c>
      <c r="AL5" s="87">
        <f t="shared" si="4"/>
        <v>16</v>
      </c>
      <c r="AM5" s="87">
        <f t="shared" si="4"/>
        <v>121</v>
      </c>
      <c r="AN5" s="87">
        <f t="shared" si="4"/>
        <v>-191</v>
      </c>
      <c r="AO5" s="87">
        <f t="shared" si="4"/>
        <v>-212</v>
      </c>
      <c r="AP5" s="87">
        <f t="shared" si="4"/>
        <v>25</v>
      </c>
      <c r="AQ5" s="87">
        <f t="shared" si="4"/>
        <v>-114</v>
      </c>
      <c r="AR5" s="87">
        <f t="shared" si="4"/>
        <v>-520</v>
      </c>
      <c r="AS5" s="87">
        <f t="shared" si="4"/>
        <v>-105</v>
      </c>
      <c r="AT5" s="87">
        <f t="shared" si="4"/>
        <v>222</v>
      </c>
      <c r="AU5" s="87">
        <f t="shared" si="4"/>
        <v>275</v>
      </c>
      <c r="AV5" s="87">
        <f t="shared" si="4"/>
        <v>60</v>
      </c>
      <c r="AW5" s="87">
        <f t="shared" si="4"/>
        <v>-252</v>
      </c>
      <c r="AX5" s="87">
        <f t="shared" si="4"/>
        <v>180</v>
      </c>
      <c r="AY5" s="87">
        <f t="shared" si="4"/>
        <v>97</v>
      </c>
      <c r="AZ5" s="87">
        <f t="shared" si="4"/>
        <v>-66</v>
      </c>
      <c r="BA5" s="87">
        <f t="shared" si="4"/>
        <v>-52</v>
      </c>
      <c r="BB5" s="87">
        <f t="shared" si="4"/>
        <v>-147</v>
      </c>
      <c r="BC5" s="87">
        <f t="shared" ref="BC5" si="5">BC4-BB4</f>
        <v>-106</v>
      </c>
      <c r="BD5" s="87">
        <f t="shared" ref="BD5" si="6">BD4-BC4</f>
        <v>-211</v>
      </c>
      <c r="BE5" s="87">
        <f t="shared" ref="BE5:BF5" si="7">BE4-BD4</f>
        <v>434</v>
      </c>
      <c r="BF5" s="87">
        <f t="shared" si="7"/>
        <v>91</v>
      </c>
      <c r="BG5" s="87">
        <f t="shared" ref="BG5:BR5" si="8">BG4-BF4</f>
        <v>266</v>
      </c>
      <c r="BH5" s="87">
        <f t="shared" si="8"/>
        <v>236</v>
      </c>
      <c r="BI5" s="87">
        <f t="shared" si="8"/>
        <v>150</v>
      </c>
      <c r="BJ5" s="87">
        <f t="shared" si="8"/>
        <v>214</v>
      </c>
      <c r="BK5" s="87">
        <f t="shared" si="8"/>
        <v>132</v>
      </c>
      <c r="BL5" s="87">
        <f t="shared" si="8"/>
        <v>-148</v>
      </c>
      <c r="BM5" s="87">
        <f t="shared" si="8"/>
        <v>26</v>
      </c>
      <c r="BN5" s="87">
        <f t="shared" si="8"/>
        <v>245</v>
      </c>
      <c r="BO5" s="87">
        <f t="shared" si="8"/>
        <v>106</v>
      </c>
      <c r="BP5" s="87">
        <f t="shared" si="8"/>
        <v>-60</v>
      </c>
      <c r="BQ5" s="87">
        <f t="shared" si="8"/>
        <v>190</v>
      </c>
      <c r="BR5" s="87">
        <f t="shared" si="8"/>
        <v>-63</v>
      </c>
      <c r="BS5" s="87"/>
      <c r="BT5" s="87"/>
      <c r="BU5" s="87"/>
      <c r="BV5" s="87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</row>
    <row r="6" spans="2:132">
      <c r="B6" s="4" t="s">
        <v>1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>
        <v>1913</v>
      </c>
      <c r="N6" s="87">
        <v>2017</v>
      </c>
      <c r="O6" s="87">
        <v>2125</v>
      </c>
      <c r="P6" s="87">
        <v>2247</v>
      </c>
      <c r="Q6" s="87">
        <v>2367</v>
      </c>
      <c r="R6" s="87">
        <v>2565</v>
      </c>
      <c r="S6" s="87">
        <v>2490</v>
      </c>
      <c r="T6" s="87">
        <v>2628</v>
      </c>
      <c r="U6" s="87">
        <f>2258+U7</f>
        <v>3145</v>
      </c>
      <c r="V6" s="87">
        <f>V7+V8</f>
        <v>3286</v>
      </c>
      <c r="W6" s="87">
        <f>W7+W8</f>
        <v>3440</v>
      </c>
      <c r="X6" s="87">
        <f t="shared" ref="X6:AM6" si="9">X7+X8</f>
        <v>3550</v>
      </c>
      <c r="Y6" s="87">
        <f t="shared" si="9"/>
        <v>3632</v>
      </c>
      <c r="Z6" s="87">
        <f t="shared" si="9"/>
        <v>3671</v>
      </c>
      <c r="AA6" s="87">
        <f t="shared" si="9"/>
        <v>3711</v>
      </c>
      <c r="AB6" s="87">
        <f t="shared" si="9"/>
        <v>3763</v>
      </c>
      <c r="AC6" s="87">
        <f t="shared" si="9"/>
        <v>3817</v>
      </c>
      <c r="AD6" s="87">
        <f t="shared" si="9"/>
        <v>3836</v>
      </c>
      <c r="AE6" s="87">
        <f t="shared" si="9"/>
        <v>3810</v>
      </c>
      <c r="AF6" s="87">
        <f t="shared" si="9"/>
        <v>3810</v>
      </c>
      <c r="AG6" s="87">
        <f t="shared" si="9"/>
        <v>3817</v>
      </c>
      <c r="AH6" s="87">
        <f t="shared" si="9"/>
        <v>3823</v>
      </c>
      <c r="AI6" s="87">
        <f t="shared" si="9"/>
        <v>3804</v>
      </c>
      <c r="AJ6" s="87">
        <f t="shared" si="9"/>
        <v>3788</v>
      </c>
      <c r="AK6" s="87">
        <f>AK7+AK8</f>
        <v>3796</v>
      </c>
      <c r="AL6" s="87">
        <f t="shared" si="9"/>
        <v>3780</v>
      </c>
      <c r="AM6" s="87">
        <f t="shared" si="9"/>
        <v>3782</v>
      </c>
      <c r="AN6" s="87">
        <f t="shared" ref="AN6:AT6" si="10">AN7+AN8</f>
        <v>3765</v>
      </c>
      <c r="AO6" s="87">
        <f t="shared" si="10"/>
        <v>3788</v>
      </c>
      <c r="AP6" s="87">
        <f t="shared" si="10"/>
        <v>3811</v>
      </c>
      <c r="AQ6" s="87">
        <f t="shared" si="10"/>
        <v>3826</v>
      </c>
      <c r="AR6" s="87">
        <f t="shared" si="10"/>
        <v>3832</v>
      </c>
      <c r="AS6" s="87">
        <f t="shared" si="10"/>
        <v>3871</v>
      </c>
      <c r="AT6" s="87">
        <f t="shared" si="10"/>
        <v>4019</v>
      </c>
      <c r="AU6" s="87">
        <f t="shared" ref="AU6:BF6" si="11">AU7+AU8</f>
        <v>4162</v>
      </c>
      <c r="AV6" s="87">
        <f t="shared" si="11"/>
        <v>4285</v>
      </c>
      <c r="AW6" s="87">
        <f t="shared" si="11"/>
        <v>4384</v>
      </c>
      <c r="AX6" s="87">
        <f t="shared" si="11"/>
        <v>4491</v>
      </c>
      <c r="AY6" s="87">
        <f t="shared" si="11"/>
        <v>4641</v>
      </c>
      <c r="AZ6" s="87">
        <f t="shared" si="11"/>
        <v>4703</v>
      </c>
      <c r="BA6" s="87">
        <f t="shared" si="11"/>
        <v>4776</v>
      </c>
      <c r="BB6" s="87">
        <f t="shared" si="11"/>
        <v>4985</v>
      </c>
      <c r="BC6" s="87">
        <f t="shared" si="11"/>
        <v>5221</v>
      </c>
      <c r="BD6" s="87">
        <f t="shared" si="11"/>
        <v>5307</v>
      </c>
      <c r="BE6" s="87">
        <f t="shared" si="11"/>
        <v>5566</v>
      </c>
      <c r="BF6" s="87">
        <f t="shared" si="11"/>
        <v>5812</v>
      </c>
      <c r="BG6" s="87">
        <f t="shared" ref="BG6:BN6" si="12">BG7+BG8</f>
        <v>6025</v>
      </c>
      <c r="BH6" s="87">
        <f t="shared" si="12"/>
        <v>6229</v>
      </c>
      <c r="BI6" s="87">
        <f t="shared" si="12"/>
        <v>6407</v>
      </c>
      <c r="BJ6" s="87">
        <f t="shared" si="12"/>
        <v>6532</v>
      </c>
      <c r="BK6" s="87">
        <f t="shared" si="12"/>
        <v>6568</v>
      </c>
      <c r="BL6" s="87">
        <f t="shared" si="12"/>
        <v>6652</v>
      </c>
      <c r="BM6" s="87">
        <f t="shared" si="12"/>
        <v>6778</v>
      </c>
      <c r="BN6" s="87">
        <f t="shared" si="12"/>
        <v>6938</v>
      </c>
      <c r="BO6" s="87">
        <f t="shared" ref="BO6" si="13">BO7+BO8</f>
        <v>7064</v>
      </c>
      <c r="BP6" s="87">
        <f t="shared" ref="BP6:BR6" si="14">BP7+BP8</f>
        <v>7088</v>
      </c>
      <c r="BQ6" s="87">
        <f t="shared" si="14"/>
        <v>7173</v>
      </c>
      <c r="BR6" s="87">
        <f t="shared" si="14"/>
        <v>7300</v>
      </c>
      <c r="BS6" s="87"/>
      <c r="BT6" s="87"/>
      <c r="BU6" s="87"/>
      <c r="BV6" s="87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</row>
    <row r="7" spans="2:132">
      <c r="B7" s="1" t="s">
        <v>696</v>
      </c>
      <c r="C7" s="87"/>
      <c r="D7" s="87"/>
      <c r="E7" s="87"/>
      <c r="F7" s="87"/>
      <c r="G7" s="87"/>
      <c r="H7" s="87"/>
      <c r="I7" s="87"/>
      <c r="J7" s="87"/>
      <c r="K7" s="87"/>
      <c r="L7" s="87">
        <v>182</v>
      </c>
      <c r="M7" s="266">
        <v>200</v>
      </c>
      <c r="N7" s="266">
        <v>250</v>
      </c>
      <c r="O7" s="87">
        <v>299</v>
      </c>
      <c r="P7" s="87">
        <v>343</v>
      </c>
      <c r="Q7" s="87">
        <v>416</v>
      </c>
      <c r="R7" s="87">
        <v>551</v>
      </c>
      <c r="S7" s="87">
        <v>666</v>
      </c>
      <c r="T7" s="87">
        <v>813</v>
      </c>
      <c r="U7" s="87">
        <v>887</v>
      </c>
      <c r="V7" s="87">
        <v>945</v>
      </c>
      <c r="W7" s="87">
        <v>1024</v>
      </c>
      <c r="X7" s="87">
        <v>1055</v>
      </c>
      <c r="Y7" s="87">
        <v>1074</v>
      </c>
      <c r="Z7" s="87">
        <v>1043</v>
      </c>
      <c r="AA7" s="87">
        <v>1041</v>
      </c>
      <c r="AB7" s="87">
        <v>1043</v>
      </c>
      <c r="AC7" s="87">
        <v>1034</v>
      </c>
      <c r="AD7" s="87">
        <v>996</v>
      </c>
      <c r="AE7" s="87">
        <v>960</v>
      </c>
      <c r="AF7" s="87">
        <v>942</v>
      </c>
      <c r="AG7" s="87">
        <v>910</v>
      </c>
      <c r="AH7" s="87">
        <v>861</v>
      </c>
      <c r="AI7" s="87">
        <v>842</v>
      </c>
      <c r="AJ7" s="87">
        <v>833</v>
      </c>
      <c r="AK7" s="87">
        <v>811</v>
      </c>
      <c r="AL7" s="87">
        <v>778</v>
      </c>
      <c r="AM7" s="87">
        <v>770</v>
      </c>
      <c r="AN7" s="87">
        <v>764</v>
      </c>
      <c r="AO7" s="87">
        <v>750</v>
      </c>
      <c r="AP7" s="87">
        <v>738</v>
      </c>
      <c r="AQ7" s="87">
        <v>719</v>
      </c>
      <c r="AR7" s="87">
        <v>698</v>
      </c>
      <c r="AS7" s="87">
        <v>687</v>
      </c>
      <c r="AT7" s="87">
        <v>705</v>
      </c>
      <c r="AU7" s="617">
        <v>714</v>
      </c>
      <c r="AV7" s="617">
        <v>695</v>
      </c>
      <c r="AW7" s="617">
        <v>668</v>
      </c>
      <c r="AX7" s="617">
        <v>656</v>
      </c>
      <c r="AY7" s="617">
        <v>668</v>
      </c>
      <c r="AZ7" s="617">
        <v>657</v>
      </c>
      <c r="BA7" s="617">
        <v>636</v>
      </c>
      <c r="BB7" s="617">
        <v>638</v>
      </c>
      <c r="BC7" s="617">
        <v>659</v>
      </c>
      <c r="BD7" s="617">
        <v>676</v>
      </c>
      <c r="BE7" s="617">
        <v>734</v>
      </c>
      <c r="BF7" s="617">
        <v>760</v>
      </c>
      <c r="BG7" s="617">
        <v>783</v>
      </c>
      <c r="BH7" s="617">
        <v>803</v>
      </c>
      <c r="BI7" s="617">
        <v>858</v>
      </c>
      <c r="BJ7" s="617">
        <v>886</v>
      </c>
      <c r="BK7" s="617">
        <v>858</v>
      </c>
      <c r="BL7" s="617">
        <v>883</v>
      </c>
      <c r="BM7" s="617">
        <v>948</v>
      </c>
      <c r="BN7" s="617">
        <v>1049</v>
      </c>
      <c r="BO7" s="617">
        <v>1122</v>
      </c>
      <c r="BP7" s="617">
        <v>1145</v>
      </c>
      <c r="BQ7" s="617">
        <f>14+1188</f>
        <v>1202</v>
      </c>
      <c r="BR7" s="617">
        <v>1239</v>
      </c>
      <c r="BS7" s="617"/>
      <c r="BT7" s="617"/>
      <c r="BU7" s="617"/>
      <c r="BV7" s="617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>
        <f>18900/0.666666</f>
        <v>28350.028350028351</v>
      </c>
      <c r="CM7" s="3">
        <f>CL7/3</f>
        <v>9450.009450009451</v>
      </c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</row>
    <row r="8" spans="2:132">
      <c r="B8" s="1" t="s">
        <v>697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>
        <f t="shared" ref="O8:U8" si="15">O6-O7</f>
        <v>1826</v>
      </c>
      <c r="P8" s="87">
        <f t="shared" si="15"/>
        <v>1904</v>
      </c>
      <c r="Q8" s="87">
        <f t="shared" si="15"/>
        <v>1951</v>
      </c>
      <c r="R8" s="87">
        <f t="shared" si="15"/>
        <v>2014</v>
      </c>
      <c r="S8" s="87">
        <f t="shared" si="15"/>
        <v>1824</v>
      </c>
      <c r="T8" s="87">
        <f t="shared" si="15"/>
        <v>1815</v>
      </c>
      <c r="U8" s="87">
        <f t="shared" si="15"/>
        <v>2258</v>
      </c>
      <c r="V8" s="87">
        <v>2341</v>
      </c>
      <c r="W8" s="87">
        <v>2416</v>
      </c>
      <c r="X8" s="87">
        <v>2495</v>
      </c>
      <c r="Y8" s="87">
        <v>2558</v>
      </c>
      <c r="Z8" s="87">
        <v>2628</v>
      </c>
      <c r="AA8" s="87">
        <v>2670</v>
      </c>
      <c r="AB8" s="87">
        <v>2720</v>
      </c>
      <c r="AC8" s="87">
        <v>2783</v>
      </c>
      <c r="AD8" s="87">
        <v>2840</v>
      </c>
      <c r="AE8" s="87">
        <v>2850</v>
      </c>
      <c r="AF8" s="87">
        <v>2868</v>
      </c>
      <c r="AG8" s="87">
        <v>2907</v>
      </c>
      <c r="AH8" s="87">
        <v>2962</v>
      </c>
      <c r="AI8" s="87">
        <v>2962</v>
      </c>
      <c r="AJ8" s="87">
        <v>2955</v>
      </c>
      <c r="AK8" s="87">
        <v>2985</v>
      </c>
      <c r="AL8" s="87">
        <v>3002</v>
      </c>
      <c r="AM8" s="87">
        <v>3012</v>
      </c>
      <c r="AN8" s="87">
        <v>3001</v>
      </c>
      <c r="AO8" s="87">
        <v>3038</v>
      </c>
      <c r="AP8" s="87">
        <v>3073</v>
      </c>
      <c r="AQ8" s="87">
        <v>3107</v>
      </c>
      <c r="AR8" s="87">
        <v>3134</v>
      </c>
      <c r="AS8" s="87">
        <v>3184</v>
      </c>
      <c r="AT8" s="87">
        <v>3314</v>
      </c>
      <c r="AU8" s="617">
        <v>3448</v>
      </c>
      <c r="AV8" s="617">
        <v>3590</v>
      </c>
      <c r="AW8" s="617">
        <v>3716</v>
      </c>
      <c r="AX8" s="617">
        <v>3835</v>
      </c>
      <c r="AY8" s="617">
        <v>3973</v>
      </c>
      <c r="AZ8" s="617">
        <v>4046</v>
      </c>
      <c r="BA8" s="617">
        <v>4140</v>
      </c>
      <c r="BB8" s="617">
        <v>4347</v>
      </c>
      <c r="BC8" s="617">
        <v>4562</v>
      </c>
      <c r="BD8" s="617">
        <v>4631</v>
      </c>
      <c r="BE8" s="617">
        <v>4832</v>
      </c>
      <c r="BF8" s="617">
        <v>5052</v>
      </c>
      <c r="BG8" s="617">
        <v>5242</v>
      </c>
      <c r="BH8" s="617">
        <v>5426</v>
      </c>
      <c r="BI8" s="617">
        <v>5549</v>
      </c>
      <c r="BJ8" s="617">
        <v>5646</v>
      </c>
      <c r="BK8" s="617">
        <v>5710</v>
      </c>
      <c r="BL8" s="617">
        <v>5769</v>
      </c>
      <c r="BM8" s="617">
        <v>5830</v>
      </c>
      <c r="BN8" s="617">
        <v>5889</v>
      </c>
      <c r="BO8" s="617">
        <v>5942</v>
      </c>
      <c r="BP8" s="617">
        <v>5943</v>
      </c>
      <c r="BQ8" s="617">
        <f>4788+1183</f>
        <v>5971</v>
      </c>
      <c r="BR8" s="617">
        <v>6061</v>
      </c>
      <c r="BS8" s="617"/>
      <c r="BT8" s="617"/>
      <c r="BU8" s="617"/>
      <c r="BV8" s="617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>
        <f>CM7*2</f>
        <v>18900.018900018902</v>
      </c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</row>
    <row r="9" spans="2:132">
      <c r="B9" s="4" t="s">
        <v>695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>
        <f t="shared" ref="S9:Y9" si="16">S4-S6</f>
        <v>5341</v>
      </c>
      <c r="T9" s="87">
        <f t="shared" si="16"/>
        <v>5640</v>
      </c>
      <c r="U9" s="87">
        <f t="shared" si="16"/>
        <v>5424</v>
      </c>
      <c r="V9" s="87">
        <f t="shared" si="16"/>
        <v>5897</v>
      </c>
      <c r="W9" s="87">
        <f t="shared" si="16"/>
        <v>6308</v>
      </c>
      <c r="X9" s="87">
        <f t="shared" si="16"/>
        <v>6265</v>
      </c>
      <c r="Y9" s="87">
        <f t="shared" si="16"/>
        <v>6258</v>
      </c>
      <c r="Z9" s="87">
        <f t="shared" ref="Z9:AO9" si="17">Z4-Z6</f>
        <v>6435</v>
      </c>
      <c r="AA9" s="87">
        <f t="shared" si="17"/>
        <v>6422</v>
      </c>
      <c r="AB9" s="87">
        <f t="shared" si="17"/>
        <v>6378</v>
      </c>
      <c r="AC9" s="87">
        <f t="shared" si="17"/>
        <v>6432</v>
      </c>
      <c r="AD9" s="87">
        <f t="shared" si="17"/>
        <v>6593</v>
      </c>
      <c r="AE9" s="87">
        <f t="shared" si="17"/>
        <v>6429</v>
      </c>
      <c r="AF9" s="87">
        <f t="shared" si="17"/>
        <v>6357</v>
      </c>
      <c r="AG9" s="87">
        <f t="shared" si="17"/>
        <v>6294</v>
      </c>
      <c r="AH9" s="87">
        <f t="shared" si="17"/>
        <v>6280</v>
      </c>
      <c r="AI9" s="87">
        <f t="shared" si="17"/>
        <v>6205</v>
      </c>
      <c r="AJ9" s="87">
        <f t="shared" si="17"/>
        <v>6109</v>
      </c>
      <c r="AK9" s="87">
        <f t="shared" si="17"/>
        <v>5959</v>
      </c>
      <c r="AL9" s="87">
        <v>5991</v>
      </c>
      <c r="AM9" s="87">
        <f t="shared" si="17"/>
        <v>6110</v>
      </c>
      <c r="AN9" s="87">
        <f t="shared" si="17"/>
        <v>5936</v>
      </c>
      <c r="AO9" s="87">
        <f t="shared" si="17"/>
        <v>5701</v>
      </c>
      <c r="AP9" s="87">
        <v>5703</v>
      </c>
      <c r="AQ9" s="87">
        <v>5573</v>
      </c>
      <c r="AR9" s="87">
        <v>5048</v>
      </c>
      <c r="AS9" s="617">
        <f t="shared" ref="AS9:AU9" si="18">AS4-AS6</f>
        <v>4904</v>
      </c>
      <c r="AT9" s="617">
        <f t="shared" si="18"/>
        <v>4978</v>
      </c>
      <c r="AU9" s="617">
        <f t="shared" si="18"/>
        <v>5110</v>
      </c>
      <c r="AV9" s="617">
        <v>5047</v>
      </c>
      <c r="AW9" s="617">
        <v>4696</v>
      </c>
      <c r="AX9" s="617">
        <v>4769</v>
      </c>
      <c r="AY9" s="617">
        <v>4717</v>
      </c>
      <c r="AZ9" s="617">
        <v>4588</v>
      </c>
      <c r="BA9" s="617">
        <v>4463</v>
      </c>
      <c r="BB9" s="617">
        <v>4108</v>
      </c>
      <c r="BC9" s="617">
        <v>3765</v>
      </c>
      <c r="BD9" s="617">
        <v>3468</v>
      </c>
      <c r="BE9" s="617">
        <v>3643</v>
      </c>
      <c r="BF9" s="617">
        <v>3488</v>
      </c>
      <c r="BG9" s="617">
        <v>3541</v>
      </c>
      <c r="BH9" s="617">
        <v>3573</v>
      </c>
      <c r="BI9" s="617">
        <v>3545</v>
      </c>
      <c r="BJ9" s="617">
        <v>3635</v>
      </c>
      <c r="BK9" s="617">
        <v>3730</v>
      </c>
      <c r="BL9" s="617">
        <v>3497</v>
      </c>
      <c r="BM9" s="617">
        <v>3398</v>
      </c>
      <c r="BN9" s="617">
        <v>3483</v>
      </c>
      <c r="BO9" s="617">
        <v>3463</v>
      </c>
      <c r="BP9" s="617">
        <v>3379</v>
      </c>
      <c r="BQ9" s="617">
        <f>3484</f>
        <v>3484</v>
      </c>
      <c r="BR9" s="617">
        <v>3294</v>
      </c>
      <c r="BS9" s="617"/>
      <c r="BT9" s="617"/>
      <c r="BU9" s="617"/>
      <c r="BV9" s="617"/>
      <c r="BW9" s="7"/>
      <c r="BX9" s="7"/>
      <c r="BY9" s="7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>
        <f>CM8*1.5</f>
        <v>28350.028350028355</v>
      </c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</row>
    <row r="10" spans="2:132">
      <c r="B10" s="1" t="s">
        <v>1068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>
        <f t="shared" ref="S10:X10" si="19">S6-R6</f>
        <v>-75</v>
      </c>
      <c r="T10" s="87">
        <f t="shared" si="19"/>
        <v>138</v>
      </c>
      <c r="U10" s="87">
        <f t="shared" si="19"/>
        <v>517</v>
      </c>
      <c r="V10" s="87">
        <f t="shared" si="19"/>
        <v>141</v>
      </c>
      <c r="W10" s="87">
        <f t="shared" si="19"/>
        <v>154</v>
      </c>
      <c r="X10" s="87">
        <f t="shared" si="19"/>
        <v>110</v>
      </c>
      <c r="Y10" s="87">
        <f t="shared" ref="Y10:AX10" si="20">Y6-X6</f>
        <v>82</v>
      </c>
      <c r="Z10" s="87">
        <f t="shared" si="20"/>
        <v>39</v>
      </c>
      <c r="AA10" s="87">
        <f t="shared" si="20"/>
        <v>40</v>
      </c>
      <c r="AB10" s="87">
        <f t="shared" si="20"/>
        <v>52</v>
      </c>
      <c r="AC10" s="87">
        <f t="shared" si="20"/>
        <v>54</v>
      </c>
      <c r="AD10" s="87">
        <f t="shared" si="20"/>
        <v>19</v>
      </c>
      <c r="AE10" s="87">
        <f t="shared" si="20"/>
        <v>-26</v>
      </c>
      <c r="AF10" s="87">
        <f t="shared" si="20"/>
        <v>0</v>
      </c>
      <c r="AG10" s="87">
        <f t="shared" si="20"/>
        <v>7</v>
      </c>
      <c r="AH10" s="87">
        <f t="shared" si="20"/>
        <v>6</v>
      </c>
      <c r="AI10" s="87">
        <f t="shared" si="20"/>
        <v>-19</v>
      </c>
      <c r="AJ10" s="87">
        <f t="shared" si="20"/>
        <v>-16</v>
      </c>
      <c r="AK10" s="87">
        <f>AK6-AJ6</f>
        <v>8</v>
      </c>
      <c r="AL10" s="87">
        <f t="shared" si="20"/>
        <v>-16</v>
      </c>
      <c r="AM10" s="87">
        <f t="shared" si="20"/>
        <v>2</v>
      </c>
      <c r="AN10" s="87">
        <f t="shared" si="20"/>
        <v>-17</v>
      </c>
      <c r="AO10" s="87">
        <f t="shared" si="20"/>
        <v>23</v>
      </c>
      <c r="AP10" s="87">
        <f t="shared" si="20"/>
        <v>23</v>
      </c>
      <c r="AQ10" s="87">
        <f t="shared" si="20"/>
        <v>15</v>
      </c>
      <c r="AR10" s="87">
        <f t="shared" si="20"/>
        <v>6</v>
      </c>
      <c r="AS10" s="87">
        <f t="shared" si="20"/>
        <v>39</v>
      </c>
      <c r="AT10" s="87">
        <f t="shared" si="20"/>
        <v>148</v>
      </c>
      <c r="AU10" s="87">
        <f t="shared" si="20"/>
        <v>143</v>
      </c>
      <c r="AV10" s="87">
        <f t="shared" si="20"/>
        <v>123</v>
      </c>
      <c r="AW10" s="87">
        <f t="shared" si="20"/>
        <v>99</v>
      </c>
      <c r="AX10" s="87">
        <f t="shared" si="20"/>
        <v>107</v>
      </c>
      <c r="AY10" s="87">
        <f>AY6-AX6</f>
        <v>150</v>
      </c>
      <c r="AZ10" s="87">
        <f>AZ6-AY6</f>
        <v>62</v>
      </c>
      <c r="BA10" s="87">
        <f>BA6-AZ6</f>
        <v>73</v>
      </c>
      <c r="BB10" s="87">
        <f>BB6-BA6</f>
        <v>209</v>
      </c>
      <c r="BC10" s="87">
        <f t="shared" ref="BC10:BF10" si="21">BC6-BB6</f>
        <v>236</v>
      </c>
      <c r="BD10" s="87">
        <f t="shared" si="21"/>
        <v>86</v>
      </c>
      <c r="BE10" s="87">
        <f t="shared" si="21"/>
        <v>259</v>
      </c>
      <c r="BF10" s="87">
        <f t="shared" si="21"/>
        <v>246</v>
      </c>
      <c r="BG10" s="87">
        <f t="shared" ref="BG10:BR10" si="22">BG6-BF6</f>
        <v>213</v>
      </c>
      <c r="BH10" s="87">
        <f t="shared" si="22"/>
        <v>204</v>
      </c>
      <c r="BI10" s="87">
        <f t="shared" si="22"/>
        <v>178</v>
      </c>
      <c r="BJ10" s="87">
        <f t="shared" si="22"/>
        <v>125</v>
      </c>
      <c r="BK10" s="87">
        <f t="shared" si="22"/>
        <v>36</v>
      </c>
      <c r="BL10" s="87">
        <f t="shared" si="22"/>
        <v>84</v>
      </c>
      <c r="BM10" s="87">
        <f t="shared" si="22"/>
        <v>126</v>
      </c>
      <c r="BN10" s="87">
        <f t="shared" si="22"/>
        <v>160</v>
      </c>
      <c r="BO10" s="87">
        <f t="shared" si="22"/>
        <v>126</v>
      </c>
      <c r="BP10" s="87">
        <f t="shared" si="22"/>
        <v>24</v>
      </c>
      <c r="BQ10" s="87">
        <f t="shared" si="22"/>
        <v>85</v>
      </c>
      <c r="BR10" s="87">
        <f t="shared" si="22"/>
        <v>127</v>
      </c>
      <c r="BS10" s="87"/>
      <c r="BT10" s="87"/>
      <c r="BU10" s="87"/>
      <c r="BV10" s="87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</row>
    <row r="11" spans="2:132">
      <c r="B11" s="1" t="s">
        <v>1069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>
        <f t="shared" ref="AA11:AX12" si="23">AA8-Z8</f>
        <v>42</v>
      </c>
      <c r="AB11" s="87">
        <f t="shared" si="23"/>
        <v>50</v>
      </c>
      <c r="AC11" s="87">
        <f t="shared" si="23"/>
        <v>63</v>
      </c>
      <c r="AD11" s="87">
        <f t="shared" si="23"/>
        <v>57</v>
      </c>
      <c r="AE11" s="87">
        <f t="shared" si="23"/>
        <v>10</v>
      </c>
      <c r="AF11" s="87">
        <f t="shared" si="23"/>
        <v>18</v>
      </c>
      <c r="AG11" s="87">
        <f t="shared" si="23"/>
        <v>39</v>
      </c>
      <c r="AH11" s="87">
        <f t="shared" si="23"/>
        <v>55</v>
      </c>
      <c r="AI11" s="87">
        <f t="shared" si="23"/>
        <v>0</v>
      </c>
      <c r="AJ11" s="87">
        <f t="shared" si="23"/>
        <v>-7</v>
      </c>
      <c r="AK11" s="87">
        <f>AK8-AJ8</f>
        <v>30</v>
      </c>
      <c r="AL11" s="87">
        <f t="shared" si="23"/>
        <v>17</v>
      </c>
      <c r="AM11" s="87">
        <f t="shared" si="23"/>
        <v>10</v>
      </c>
      <c r="AN11" s="87">
        <f t="shared" si="23"/>
        <v>-11</v>
      </c>
      <c r="AO11" s="87">
        <f t="shared" si="23"/>
        <v>37</v>
      </c>
      <c r="AP11" s="87">
        <f t="shared" si="23"/>
        <v>35</v>
      </c>
      <c r="AQ11" s="87">
        <f t="shared" si="23"/>
        <v>34</v>
      </c>
      <c r="AR11" s="87">
        <f t="shared" si="23"/>
        <v>27</v>
      </c>
      <c r="AS11" s="87">
        <f t="shared" si="23"/>
        <v>50</v>
      </c>
      <c r="AT11" s="87">
        <f t="shared" si="23"/>
        <v>130</v>
      </c>
      <c r="AU11" s="87">
        <f t="shared" si="23"/>
        <v>134</v>
      </c>
      <c r="AV11" s="87">
        <f t="shared" si="23"/>
        <v>142</v>
      </c>
      <c r="AW11" s="87">
        <f t="shared" si="23"/>
        <v>126</v>
      </c>
      <c r="AX11" s="87">
        <f t="shared" si="23"/>
        <v>119</v>
      </c>
      <c r="AY11" s="87">
        <f t="shared" ref="AY11:BB12" si="24">AY8-AX8</f>
        <v>138</v>
      </c>
      <c r="AZ11" s="87">
        <f t="shared" si="24"/>
        <v>73</v>
      </c>
      <c r="BA11" s="87">
        <f t="shared" si="24"/>
        <v>94</v>
      </c>
      <c r="BB11" s="87">
        <f t="shared" si="24"/>
        <v>207</v>
      </c>
      <c r="BC11" s="87">
        <f t="shared" ref="BC11:BC12" si="25">BC8-BB8</f>
        <v>215</v>
      </c>
      <c r="BD11" s="87">
        <f t="shared" ref="BD11:BD12" si="26">BD8-BC8</f>
        <v>69</v>
      </c>
      <c r="BE11" s="87">
        <f t="shared" ref="BE11:BF12" si="27">BE8-BD8</f>
        <v>201</v>
      </c>
      <c r="BF11" s="87">
        <f t="shared" si="27"/>
        <v>220</v>
      </c>
      <c r="BG11" s="87">
        <f t="shared" ref="BG11:BR12" si="28">BG8-BF8</f>
        <v>190</v>
      </c>
      <c r="BH11" s="87">
        <f t="shared" si="28"/>
        <v>184</v>
      </c>
      <c r="BI11" s="87">
        <f t="shared" si="28"/>
        <v>123</v>
      </c>
      <c r="BJ11" s="87">
        <f t="shared" si="28"/>
        <v>97</v>
      </c>
      <c r="BK11" s="87">
        <f t="shared" si="28"/>
        <v>64</v>
      </c>
      <c r="BL11" s="87">
        <f t="shared" si="28"/>
        <v>59</v>
      </c>
      <c r="BM11" s="87">
        <f t="shared" si="28"/>
        <v>61</v>
      </c>
      <c r="BN11" s="87">
        <f t="shared" si="28"/>
        <v>59</v>
      </c>
      <c r="BO11" s="87">
        <f t="shared" si="28"/>
        <v>53</v>
      </c>
      <c r="BP11" s="87">
        <f t="shared" si="28"/>
        <v>1</v>
      </c>
      <c r="BQ11" s="87">
        <f t="shared" si="28"/>
        <v>28</v>
      </c>
      <c r="BR11" s="87">
        <f t="shared" si="28"/>
        <v>90</v>
      </c>
      <c r="BS11" s="87"/>
      <c r="BT11" s="87"/>
      <c r="BU11" s="87"/>
      <c r="BV11" s="87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</row>
    <row r="12" spans="2:132">
      <c r="B12" s="1" t="s">
        <v>1847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>
        <f t="shared" ref="AG12" si="29">AG9-AF9</f>
        <v>-63</v>
      </c>
      <c r="AH12" s="87">
        <f t="shared" ref="AH12" si="30">AH9-AG9</f>
        <v>-14</v>
      </c>
      <c r="AI12" s="87">
        <f t="shared" ref="AI12" si="31">AI9-AH9</f>
        <v>-75</v>
      </c>
      <c r="AJ12" s="87">
        <f t="shared" ref="AJ12" si="32">AJ9-AI9</f>
        <v>-96</v>
      </c>
      <c r="AK12" s="87">
        <f t="shared" ref="AK12" si="33">AK9-AJ9</f>
        <v>-150</v>
      </c>
      <c r="AL12" s="87">
        <f t="shared" ref="AL12" si="34">AL9-AK9</f>
        <v>32</v>
      </c>
      <c r="AM12" s="87">
        <f t="shared" ref="AM12" si="35">AM9-AL9</f>
        <v>119</v>
      </c>
      <c r="AN12" s="87">
        <f t="shared" ref="AN12" si="36">AN9-AM9</f>
        <v>-174</v>
      </c>
      <c r="AO12" s="87">
        <f t="shared" ref="AO12" si="37">AO9-AN9</f>
        <v>-235</v>
      </c>
      <c r="AP12" s="87">
        <f t="shared" ref="AP12" si="38">AP9-AO9</f>
        <v>2</v>
      </c>
      <c r="AQ12" s="87">
        <f t="shared" si="23"/>
        <v>-130</v>
      </c>
      <c r="AR12" s="87">
        <f t="shared" si="23"/>
        <v>-525</v>
      </c>
      <c r="AS12" s="87">
        <f t="shared" si="23"/>
        <v>-144</v>
      </c>
      <c r="AT12" s="87">
        <f t="shared" si="23"/>
        <v>74</v>
      </c>
      <c r="AU12" s="87">
        <f t="shared" si="23"/>
        <v>132</v>
      </c>
      <c r="AV12" s="87">
        <f t="shared" si="23"/>
        <v>-63</v>
      </c>
      <c r="AW12" s="87">
        <f t="shared" si="23"/>
        <v>-351</v>
      </c>
      <c r="AX12" s="87">
        <f t="shared" si="23"/>
        <v>73</v>
      </c>
      <c r="AY12" s="87">
        <f t="shared" si="24"/>
        <v>-52</v>
      </c>
      <c r="AZ12" s="87">
        <f t="shared" si="24"/>
        <v>-129</v>
      </c>
      <c r="BA12" s="87">
        <f t="shared" si="24"/>
        <v>-125</v>
      </c>
      <c r="BB12" s="87">
        <f t="shared" si="24"/>
        <v>-355</v>
      </c>
      <c r="BC12" s="87">
        <f t="shared" si="25"/>
        <v>-343</v>
      </c>
      <c r="BD12" s="87">
        <f t="shared" si="26"/>
        <v>-297</v>
      </c>
      <c r="BE12" s="87">
        <f t="shared" si="27"/>
        <v>175</v>
      </c>
      <c r="BF12" s="87">
        <f t="shared" si="27"/>
        <v>-155</v>
      </c>
      <c r="BG12" s="87">
        <f t="shared" si="28"/>
        <v>53</v>
      </c>
      <c r="BH12" s="87">
        <f t="shared" si="28"/>
        <v>32</v>
      </c>
      <c r="BI12" s="87">
        <f t="shared" si="28"/>
        <v>-28</v>
      </c>
      <c r="BJ12" s="87">
        <f t="shared" si="28"/>
        <v>90</v>
      </c>
      <c r="BK12" s="87">
        <f t="shared" si="28"/>
        <v>95</v>
      </c>
      <c r="BL12" s="87">
        <f t="shared" si="28"/>
        <v>-233</v>
      </c>
      <c r="BM12" s="87">
        <f t="shared" si="28"/>
        <v>-99</v>
      </c>
      <c r="BN12" s="87">
        <f t="shared" si="28"/>
        <v>85</v>
      </c>
      <c r="BO12" s="87">
        <f t="shared" si="28"/>
        <v>-20</v>
      </c>
      <c r="BP12" s="87">
        <f t="shared" si="28"/>
        <v>-84</v>
      </c>
      <c r="BQ12" s="87">
        <f t="shared" si="28"/>
        <v>105</v>
      </c>
      <c r="BR12" s="87">
        <f t="shared" si="28"/>
        <v>-190</v>
      </c>
      <c r="BS12" s="87"/>
      <c r="BT12" s="87"/>
      <c r="BU12" s="87"/>
      <c r="BV12" s="87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</row>
    <row r="13" spans="2:132">
      <c r="B13" s="1" t="s">
        <v>2116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617">
        <v>8563</v>
      </c>
      <c r="AQ13" s="617">
        <v>8305</v>
      </c>
      <c r="AR13" s="617">
        <v>8769</v>
      </c>
      <c r="AS13" s="617">
        <v>8812</v>
      </c>
      <c r="AT13" s="617">
        <v>8622</v>
      </c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166"/>
      <c r="BI13" s="166"/>
      <c r="BJ13" s="166"/>
      <c r="BK13" s="166"/>
      <c r="BL13" s="87"/>
      <c r="BM13" s="87"/>
      <c r="BN13" s="87"/>
      <c r="BO13" s="87"/>
      <c r="BP13" s="87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</row>
    <row r="14" spans="2:132">
      <c r="B14" s="1" t="s">
        <v>2117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>
        <f t="shared" ref="AP14:AS14" si="39">AP13*3*AVERAGE(AO4,AP4)/1000</f>
        <v>244084.03349999999</v>
      </c>
      <c r="AQ14" s="87">
        <f t="shared" si="39"/>
        <v>235621.155</v>
      </c>
      <c r="AR14" s="87">
        <f t="shared" si="39"/>
        <v>240445.98</v>
      </c>
      <c r="AS14" s="87">
        <f t="shared" si="39"/>
        <v>233363.79</v>
      </c>
      <c r="AT14" s="87">
        <f>AT13*3*AVERAGE(AS4,AT4)/1000</f>
        <v>229845.27600000001</v>
      </c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166"/>
      <c r="BI14" s="166"/>
      <c r="BJ14" s="166"/>
      <c r="BK14" s="166"/>
      <c r="BL14" s="87"/>
      <c r="BM14" s="87"/>
      <c r="BN14" s="87"/>
      <c r="BO14" s="87"/>
      <c r="BP14" s="87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8">
        <f>AQ14/AM16-1</f>
        <v>-7.1519385703024407E-2</v>
      </c>
      <c r="DC14" s="8">
        <f>AR14/AN16-1</f>
        <v>-1.9139598734988383E-2</v>
      </c>
      <c r="DD14" s="8">
        <f>AS14/AO16-1</f>
        <v>-3.3484520803559792E-2</v>
      </c>
      <c r="DE14" s="8">
        <f>AT14/AP16-1</f>
        <v>-5.8335472811661737E-2</v>
      </c>
      <c r="DF14" s="3"/>
      <c r="DG14" s="3"/>
      <c r="DH14" s="3"/>
      <c r="DI14" s="3"/>
    </row>
    <row r="15" spans="2:132">
      <c r="B15" s="3" t="s">
        <v>2069</v>
      </c>
      <c r="C15" s="87"/>
      <c r="D15" s="87"/>
      <c r="E15" s="87"/>
      <c r="F15" s="87"/>
      <c r="G15" s="87"/>
      <c r="H15" s="87"/>
      <c r="I15" s="87">
        <v>10100</v>
      </c>
      <c r="J15" s="87">
        <v>11100</v>
      </c>
      <c r="K15" s="87">
        <v>9900</v>
      </c>
      <c r="L15" s="87">
        <v>9100</v>
      </c>
      <c r="M15" s="87">
        <v>9200</v>
      </c>
      <c r="N15" s="87">
        <v>9400</v>
      </c>
      <c r="O15" s="87">
        <v>9200</v>
      </c>
      <c r="P15" s="87">
        <v>9500</v>
      </c>
      <c r="Q15" s="87">
        <v>9400</v>
      </c>
      <c r="R15" s="87">
        <v>9900</v>
      </c>
      <c r="S15" s="87">
        <v>9300</v>
      </c>
      <c r="T15" s="87">
        <v>9100</v>
      </c>
      <c r="U15" s="87">
        <v>9000</v>
      </c>
      <c r="V15" s="87">
        <v>9100</v>
      </c>
      <c r="W15" s="266">
        <v>8800</v>
      </c>
      <c r="X15" s="266">
        <v>8700</v>
      </c>
      <c r="Y15" s="266">
        <v>8800</v>
      </c>
      <c r="Z15" s="266">
        <v>9200</v>
      </c>
      <c r="AA15" s="266">
        <v>9000</v>
      </c>
      <c r="AB15" s="266">
        <v>9100</v>
      </c>
      <c r="AC15" s="266">
        <v>9200</v>
      </c>
      <c r="AD15" s="266">
        <v>9500</v>
      </c>
      <c r="AE15" s="266">
        <v>8600</v>
      </c>
      <c r="AF15" s="266">
        <v>8300</v>
      </c>
      <c r="AG15" s="266">
        <v>8300</v>
      </c>
      <c r="AH15" s="266">
        <v>8725</v>
      </c>
      <c r="AI15" s="266">
        <v>8708</v>
      </c>
      <c r="AJ15" s="266">
        <v>8743</v>
      </c>
      <c r="AK15" s="266">
        <v>8653</v>
      </c>
      <c r="AL15" s="266">
        <v>8745</v>
      </c>
      <c r="AM15" s="266">
        <v>8604</v>
      </c>
      <c r="AN15" s="266">
        <v>8341</v>
      </c>
      <c r="AO15" s="266">
        <v>8388</v>
      </c>
      <c r="AP15" s="266">
        <v>8563</v>
      </c>
      <c r="AQ15" s="618">
        <v>9346</v>
      </c>
      <c r="AR15" s="618">
        <v>9867</v>
      </c>
      <c r="AS15" s="618">
        <v>9947</v>
      </c>
      <c r="AT15" s="617">
        <v>10339</v>
      </c>
      <c r="AU15" s="617">
        <v>9359</v>
      </c>
      <c r="AV15" s="617">
        <v>9165</v>
      </c>
      <c r="AW15" s="617">
        <v>8911</v>
      </c>
      <c r="AX15" s="617">
        <v>9481</v>
      </c>
      <c r="AY15" s="266">
        <v>7049</v>
      </c>
      <c r="AZ15" s="266">
        <v>6767</v>
      </c>
      <c r="BA15" s="266">
        <v>6893</v>
      </c>
      <c r="BB15" s="266">
        <v>6955</v>
      </c>
      <c r="BC15" s="266">
        <v>7338</v>
      </c>
      <c r="BD15" s="266">
        <v>7168</v>
      </c>
      <c r="BE15" s="266">
        <v>7362</v>
      </c>
      <c r="BF15" s="266">
        <v>7483</v>
      </c>
      <c r="BG15" s="266">
        <v>7395</v>
      </c>
      <c r="BH15" s="266">
        <v>7472</v>
      </c>
      <c r="BI15" s="266">
        <v>7332</v>
      </c>
      <c r="BJ15" s="266">
        <v>7338</v>
      </c>
      <c r="BK15" s="266">
        <v>7037</v>
      </c>
      <c r="BL15" s="266">
        <v>7080</v>
      </c>
      <c r="BM15" s="266">
        <v>7080</v>
      </c>
      <c r="BN15" s="266">
        <v>7032</v>
      </c>
      <c r="BO15" s="266">
        <v>7029</v>
      </c>
      <c r="BP15" s="266">
        <v>6956</v>
      </c>
      <c r="BQ15" s="99">
        <v>6844</v>
      </c>
      <c r="BR15" s="99">
        <v>6839</v>
      </c>
      <c r="BS15" s="99"/>
      <c r="BT15" s="99"/>
      <c r="BU15" s="99"/>
      <c r="BV15" s="99"/>
      <c r="BW15" s="3"/>
      <c r="BX15" s="3"/>
      <c r="BY15" s="3"/>
      <c r="BZ15" s="3"/>
      <c r="CA15" s="3"/>
      <c r="CB15" s="3"/>
      <c r="CC15" s="3"/>
      <c r="CD15" s="8">
        <f t="shared" ref="CD15:DQ15" si="40">S15/O15-1</f>
        <v>1.0869565217391353E-2</v>
      </c>
      <c r="CE15" s="8">
        <f t="shared" si="40"/>
        <v>-4.2105263157894757E-2</v>
      </c>
      <c r="CF15" s="8">
        <f t="shared" si="40"/>
        <v>-4.2553191489361653E-2</v>
      </c>
      <c r="CG15" s="8">
        <f t="shared" si="40"/>
        <v>-8.0808080808080773E-2</v>
      </c>
      <c r="CH15" s="8">
        <f t="shared" si="40"/>
        <v>-5.3763440860215006E-2</v>
      </c>
      <c r="CI15" s="8">
        <f t="shared" si="40"/>
        <v>-4.3956043956043911E-2</v>
      </c>
      <c r="CJ15" s="8">
        <f t="shared" si="40"/>
        <v>-2.2222222222222254E-2</v>
      </c>
      <c r="CK15" s="8">
        <f t="shared" si="40"/>
        <v>1.098901098901095E-2</v>
      </c>
      <c r="CL15" s="8">
        <f t="shared" si="40"/>
        <v>2.2727272727272707E-2</v>
      </c>
      <c r="CM15" s="8">
        <f t="shared" si="40"/>
        <v>4.5977011494252817E-2</v>
      </c>
      <c r="CN15" s="8">
        <f t="shared" si="40"/>
        <v>4.5454545454545414E-2</v>
      </c>
      <c r="CO15" s="8">
        <f t="shared" si="40"/>
        <v>3.2608695652173836E-2</v>
      </c>
      <c r="CP15" s="8">
        <f t="shared" si="40"/>
        <v>-4.4444444444444398E-2</v>
      </c>
      <c r="CQ15" s="8">
        <f t="shared" si="40"/>
        <v>-8.7912087912087933E-2</v>
      </c>
      <c r="CR15" s="8">
        <f t="shared" si="40"/>
        <v>-9.7826086956521729E-2</v>
      </c>
      <c r="CS15" s="8">
        <f t="shared" si="40"/>
        <v>-8.1578947368421084E-2</v>
      </c>
      <c r="CT15" s="8">
        <f t="shared" si="40"/>
        <v>1.2558139534883717E-2</v>
      </c>
      <c r="CU15" s="8">
        <f t="shared" si="40"/>
        <v>5.337349397590363E-2</v>
      </c>
      <c r="CV15" s="8">
        <f t="shared" si="40"/>
        <v>4.2530120481927725E-2</v>
      </c>
      <c r="CW15" s="8">
        <f t="shared" si="40"/>
        <v>2.2922636103150928E-3</v>
      </c>
      <c r="CX15" s="8">
        <f t="shared" si="40"/>
        <v>-1.1943040881947642E-2</v>
      </c>
      <c r="CY15" s="8">
        <f t="shared" si="40"/>
        <v>-4.5979640855541626E-2</v>
      </c>
      <c r="CZ15" s="8">
        <f t="shared" si="40"/>
        <v>-3.0625216687853896E-2</v>
      </c>
      <c r="DA15" s="8">
        <f t="shared" si="40"/>
        <v>-2.0811892510005703E-2</v>
      </c>
      <c r="DB15" s="8">
        <f t="shared" si="40"/>
        <v>8.6238958623895856E-2</v>
      </c>
      <c r="DC15" s="8">
        <f t="shared" si="40"/>
        <v>0.18295168445030563</v>
      </c>
      <c r="DD15" s="8">
        <f t="shared" si="40"/>
        <v>0.18586075345732</v>
      </c>
      <c r="DE15" s="8">
        <f t="shared" si="40"/>
        <v>0.20740394721476108</v>
      </c>
      <c r="DF15" s="8">
        <f t="shared" si="40"/>
        <v>1.3909693986733362E-3</v>
      </c>
      <c r="DG15" s="8">
        <f t="shared" si="40"/>
        <v>-7.1146245059288571E-2</v>
      </c>
      <c r="DH15" s="8">
        <f t="shared" si="40"/>
        <v>-0.10415200562983817</v>
      </c>
      <c r="DI15" s="8">
        <f t="shared" si="40"/>
        <v>-8.2986749202050514E-2</v>
      </c>
      <c r="DJ15" s="8">
        <f t="shared" si="40"/>
        <v>-0.24682124158563945</v>
      </c>
      <c r="DK15" s="8">
        <f t="shared" si="40"/>
        <v>-0.26164757228587021</v>
      </c>
      <c r="DL15" s="8">
        <f t="shared" si="40"/>
        <v>-0.22646167657950844</v>
      </c>
      <c r="DM15" s="8">
        <f t="shared" si="40"/>
        <v>-0.26642759202615762</v>
      </c>
      <c r="DN15" s="8">
        <f t="shared" si="40"/>
        <v>4.0998723223152123E-2</v>
      </c>
      <c r="DO15" s="8">
        <f t="shared" si="40"/>
        <v>5.9258164622432385E-2</v>
      </c>
      <c r="DP15" s="8">
        <f t="shared" si="40"/>
        <v>6.8040040620919839E-2</v>
      </c>
      <c r="DQ15" s="8">
        <f t="shared" si="40"/>
        <v>7.5916606757728156E-2</v>
      </c>
    </row>
    <row r="16" spans="2:132">
      <c r="B16" s="18" t="s">
        <v>82</v>
      </c>
      <c r="C16" s="93"/>
      <c r="D16" s="93"/>
      <c r="E16" s="93"/>
      <c r="F16" s="93"/>
      <c r="G16" s="93"/>
      <c r="H16" s="93"/>
      <c r="I16" s="93">
        <f t="shared" ref="I16:BB16" si="41">I15*3*AVERAGE(H4,I4)/1000</f>
        <v>176845.95</v>
      </c>
      <c r="J16" s="93">
        <f t="shared" si="41"/>
        <v>197335.8</v>
      </c>
      <c r="K16" s="93">
        <f t="shared" si="41"/>
        <v>177309</v>
      </c>
      <c r="L16" s="93">
        <f t="shared" si="41"/>
        <v>162325.79999999999</v>
      </c>
      <c r="M16" s="93">
        <f t="shared" si="41"/>
        <v>166690.20000000001</v>
      </c>
      <c r="N16" s="93">
        <f t="shared" si="41"/>
        <v>177420.3</v>
      </c>
      <c r="O16" s="93">
        <f t="shared" si="41"/>
        <v>180076.2</v>
      </c>
      <c r="P16" s="93">
        <f t="shared" si="41"/>
        <v>190608</v>
      </c>
      <c r="Q16" s="93">
        <f t="shared" si="41"/>
        <v>193705.8</v>
      </c>
      <c r="R16" s="93">
        <f t="shared" si="41"/>
        <v>215651.7</v>
      </c>
      <c r="S16" s="93">
        <f t="shared" si="41"/>
        <v>214816.05</v>
      </c>
      <c r="T16" s="93">
        <f t="shared" si="41"/>
        <v>219751.35</v>
      </c>
      <c r="U16" s="93">
        <f t="shared" si="41"/>
        <v>227299.5</v>
      </c>
      <c r="V16" s="93">
        <f t="shared" si="41"/>
        <v>242314.8</v>
      </c>
      <c r="W16" s="93">
        <f t="shared" si="41"/>
        <v>249889.2</v>
      </c>
      <c r="X16" s="93">
        <f t="shared" si="41"/>
        <v>255297.15</v>
      </c>
      <c r="Y16" s="93">
        <f t="shared" si="41"/>
        <v>260106</v>
      </c>
      <c r="Z16" s="93">
        <f t="shared" si="41"/>
        <v>275944.8</v>
      </c>
      <c r="AA16" s="93">
        <f t="shared" si="41"/>
        <v>273226.5</v>
      </c>
      <c r="AB16" s="93">
        <f t="shared" si="41"/>
        <v>276740.09999999998</v>
      </c>
      <c r="AC16" s="93">
        <f t="shared" si="41"/>
        <v>281382</v>
      </c>
      <c r="AD16" s="93">
        <f t="shared" si="41"/>
        <v>294661.5</v>
      </c>
      <c r="AE16" s="93">
        <f t="shared" si="41"/>
        <v>266617.2</v>
      </c>
      <c r="AF16" s="93">
        <f t="shared" si="41"/>
        <v>254054.7</v>
      </c>
      <c r="AG16" s="93">
        <f t="shared" si="41"/>
        <v>252461.1</v>
      </c>
      <c r="AH16" s="93">
        <f t="shared" si="41"/>
        <v>264550.72499999998</v>
      </c>
      <c r="AI16" s="93">
        <f t="shared" si="41"/>
        <v>262702.94400000002</v>
      </c>
      <c r="AJ16" s="93">
        <f t="shared" si="41"/>
        <v>261057.23699999999</v>
      </c>
      <c r="AK16" s="93">
        <f t="shared" si="41"/>
        <v>255073.13399999999</v>
      </c>
      <c r="AL16" s="93">
        <f t="shared" si="41"/>
        <v>256132.30499999999</v>
      </c>
      <c r="AM16" s="93">
        <f t="shared" si="41"/>
        <v>253770.67800000001</v>
      </c>
      <c r="AN16" s="93">
        <f t="shared" si="41"/>
        <v>245137.81950000001</v>
      </c>
      <c r="AO16" s="93">
        <f t="shared" si="41"/>
        <v>241448.58</v>
      </c>
      <c r="AP16" s="93">
        <f t="shared" si="41"/>
        <v>244084.03349999999</v>
      </c>
      <c r="AQ16" s="93">
        <f t="shared" si="41"/>
        <v>265155.36599999998</v>
      </c>
      <c r="AR16" s="93">
        <f t="shared" si="41"/>
        <v>270553.14</v>
      </c>
      <c r="AS16" s="93">
        <f t="shared" si="41"/>
        <v>263421.42749999999</v>
      </c>
      <c r="AT16" s="93">
        <f t="shared" si="41"/>
        <v>275617.06199999998</v>
      </c>
      <c r="AU16" s="93">
        <f t="shared" si="41"/>
        <v>256469.35649999999</v>
      </c>
      <c r="AV16" s="93">
        <f t="shared" si="41"/>
        <v>255758.49</v>
      </c>
      <c r="AW16" s="93">
        <f t="shared" si="41"/>
        <v>246103.99799999999</v>
      </c>
      <c r="AX16" s="93">
        <f t="shared" si="41"/>
        <v>260822.31</v>
      </c>
      <c r="AY16" s="93">
        <f t="shared" si="41"/>
        <v>196846.84950000001</v>
      </c>
      <c r="AZ16" s="93">
        <f t="shared" si="41"/>
        <v>189286.524</v>
      </c>
      <c r="BA16" s="93">
        <f t="shared" si="41"/>
        <v>191590.935</v>
      </c>
      <c r="BB16" s="93">
        <f t="shared" si="41"/>
        <v>191238.1575</v>
      </c>
      <c r="BC16" s="93">
        <f t="shared" ref="BC16" si="42">BC15*3*AVERAGE(BB4,BC4)/1000</f>
        <v>198984.546</v>
      </c>
      <c r="BD16" s="93">
        <f t="shared" ref="BD16" si="43">BD15*3*AVERAGE(BC4,BD4)/1000</f>
        <v>190966.272</v>
      </c>
      <c r="BE16" s="93">
        <f t="shared" ref="BE16:BF16" si="44">BE15*3*AVERAGE(BD4,BE4)/1000</f>
        <v>198597.31200000001</v>
      </c>
      <c r="BF16" s="93">
        <f t="shared" si="44"/>
        <v>207754.27050000001</v>
      </c>
      <c r="BG16" s="93">
        <f>BG15*3*AVERAGE(BF4,BG4)/1000</f>
        <v>209271.10500000001</v>
      </c>
      <c r="BH16" s="93">
        <f>BH15*3*AVERAGE(BG4,BH4)/1000</f>
        <v>217076.54399999999</v>
      </c>
      <c r="BI16" s="93">
        <f>BI15*3*AVERAGE(BH4,BI4)/1000</f>
        <v>217254.492</v>
      </c>
      <c r="BJ16" s="93">
        <f>BJ15*3*AVERAGE(BI4,BJ4)/1000</f>
        <v>221438.826</v>
      </c>
      <c r="BK16" s="93">
        <f>BK15*3*AVERAGE(BJ4,BK4)/1000</f>
        <v>216007.75200000001</v>
      </c>
      <c r="BL16" s="93">
        <f t="shared" ref="BL16:BR16" si="45">BL15*3*AVERAGE(BK4,BL4)/1000</f>
        <v>217157.76000000001</v>
      </c>
      <c r="BM16" s="93">
        <f t="shared" si="45"/>
        <v>215862.12</v>
      </c>
      <c r="BN16" s="93">
        <f t="shared" si="45"/>
        <v>217257.15599999999</v>
      </c>
      <c r="BO16" s="93">
        <f t="shared" si="45"/>
        <v>220865.23800000001</v>
      </c>
      <c r="BP16" s="93">
        <f t="shared" si="45"/>
        <v>219051.39600000001</v>
      </c>
      <c r="BQ16" s="93">
        <f t="shared" si="45"/>
        <v>216858.984</v>
      </c>
      <c r="BR16" s="93">
        <f t="shared" si="45"/>
        <v>218003.3835</v>
      </c>
      <c r="BS16" s="87"/>
      <c r="BT16" s="87"/>
      <c r="BU16" s="87"/>
      <c r="BV16" s="87"/>
      <c r="BW16" s="7"/>
      <c r="BX16" s="7"/>
      <c r="BY16" s="7"/>
      <c r="BZ16" s="3"/>
      <c r="CA16" s="3"/>
      <c r="CB16" s="3"/>
      <c r="CC16" s="3"/>
      <c r="CD16" s="156">
        <f t="shared" ref="CD16:DA16" si="46">S16/O16-1</f>
        <v>0.19291749825907023</v>
      </c>
      <c r="CE16" s="156">
        <f t="shared" si="46"/>
        <v>0.15289678292621511</v>
      </c>
      <c r="CF16" s="156">
        <f t="shared" si="46"/>
        <v>0.17342640230700379</v>
      </c>
      <c r="CG16" s="156">
        <f t="shared" si="46"/>
        <v>0.12363964670809446</v>
      </c>
      <c r="CH16" s="156">
        <f t="shared" si="46"/>
        <v>0.16327062153875382</v>
      </c>
      <c r="CI16" s="156">
        <f t="shared" si="46"/>
        <v>0.16175463768481957</v>
      </c>
      <c r="CJ16" s="156">
        <f t="shared" si="46"/>
        <v>0.14433159773778659</v>
      </c>
      <c r="CK16" s="156">
        <f t="shared" si="46"/>
        <v>0.13878640512259266</v>
      </c>
      <c r="CL16" s="156">
        <f t="shared" si="46"/>
        <v>9.339059070980249E-2</v>
      </c>
      <c r="CM16" s="156">
        <f t="shared" si="46"/>
        <v>8.3992124471424789E-2</v>
      </c>
      <c r="CN16" s="156">
        <f t="shared" si="46"/>
        <v>8.1797421051417407E-2</v>
      </c>
      <c r="CO16" s="156">
        <f t="shared" si="46"/>
        <v>6.782769597397742E-2</v>
      </c>
      <c r="CP16" s="156">
        <f t="shared" si="46"/>
        <v>-2.4189820533513373E-2</v>
      </c>
      <c r="CQ16" s="156">
        <f t="shared" si="46"/>
        <v>-8.1973664098553001E-2</v>
      </c>
      <c r="CR16" s="156">
        <f t="shared" si="46"/>
        <v>-0.10278162782267519</v>
      </c>
      <c r="CS16" s="156">
        <f t="shared" si="46"/>
        <v>-0.10218767976135334</v>
      </c>
      <c r="CT16" s="156">
        <f t="shared" si="46"/>
        <v>-1.4681183359513184E-2</v>
      </c>
      <c r="CU16" s="156">
        <f t="shared" si="46"/>
        <v>2.756310747252444E-2</v>
      </c>
      <c r="CV16" s="156">
        <f t="shared" si="46"/>
        <v>1.0346283051131389E-2</v>
      </c>
      <c r="CW16" s="156">
        <f t="shared" si="46"/>
        <v>-3.1821572214553506E-2</v>
      </c>
      <c r="CX16" s="156">
        <f t="shared" si="46"/>
        <v>-3.4001392843165057E-2</v>
      </c>
      <c r="CY16" s="156">
        <f t="shared" si="46"/>
        <v>-6.0980563814057254E-2</v>
      </c>
      <c r="CZ16" s="156">
        <f t="shared" si="46"/>
        <v>-5.34143043069365E-2</v>
      </c>
      <c r="DA16" s="156">
        <f t="shared" si="46"/>
        <v>-4.7039249890793777E-2</v>
      </c>
      <c r="DB16" s="422">
        <f>DB14</f>
        <v>-7.1519385703024407E-2</v>
      </c>
      <c r="DC16" s="422">
        <f t="shared" ref="DC16:DE16" si="47">DC14</f>
        <v>-1.9139598734988383E-2</v>
      </c>
      <c r="DD16" s="422">
        <f t="shared" si="47"/>
        <v>-3.3484520803559792E-2</v>
      </c>
      <c r="DE16" s="422">
        <f t="shared" si="47"/>
        <v>-5.8335472811661737E-2</v>
      </c>
      <c r="DF16" s="156">
        <f t="shared" ref="DF16:EB16" si="48">AU16/AQ16-1</f>
        <v>-3.2758188646274555E-2</v>
      </c>
      <c r="DG16" s="156">
        <f t="shared" si="48"/>
        <v>-5.4682972816356923E-2</v>
      </c>
      <c r="DH16" s="156">
        <f t="shared" si="48"/>
        <v>-6.5740398054748184E-2</v>
      </c>
      <c r="DI16" s="156">
        <f t="shared" si="48"/>
        <v>-5.3678650707045028E-2</v>
      </c>
      <c r="DJ16" s="156">
        <f t="shared" si="48"/>
        <v>-0.2324741942416032</v>
      </c>
      <c r="DK16" s="156">
        <f t="shared" si="48"/>
        <v>-0.25990130767506481</v>
      </c>
      <c r="DL16" s="156">
        <f t="shared" si="48"/>
        <v>-0.22150417483262497</v>
      </c>
      <c r="DM16" s="156">
        <f t="shared" si="48"/>
        <v>-0.26678757848590484</v>
      </c>
      <c r="DN16" s="156">
        <f t="shared" si="48"/>
        <v>1.0859693743790366E-2</v>
      </c>
      <c r="DO16" s="156">
        <f t="shared" si="48"/>
        <v>8.8741024162923843E-3</v>
      </c>
      <c r="DP16" s="156">
        <f t="shared" si="48"/>
        <v>3.6569459823347028E-2</v>
      </c>
      <c r="DQ16" s="156">
        <f t="shared" si="48"/>
        <v>8.6364108585390564E-2</v>
      </c>
      <c r="DR16" s="156">
        <f t="shared" si="48"/>
        <v>5.169526582230155E-2</v>
      </c>
      <c r="DS16" s="156">
        <f t="shared" si="48"/>
        <v>0.13672713891592325</v>
      </c>
      <c r="DT16" s="156">
        <f t="shared" si="48"/>
        <v>9.3944776050141066E-2</v>
      </c>
      <c r="DU16" s="156">
        <f t="shared" si="48"/>
        <v>6.5868949249830111E-2</v>
      </c>
      <c r="DV16" s="156">
        <f t="shared" si="48"/>
        <v>3.219100410446063E-2</v>
      </c>
      <c r="DW16" s="156">
        <f t="shared" si="48"/>
        <v>3.7413530961694086E-4</v>
      </c>
      <c r="DX16" s="156">
        <f t="shared" si="48"/>
        <v>-6.4089445846763349E-3</v>
      </c>
      <c r="DY16" s="156">
        <f t="shared" si="48"/>
        <v>-1.8884086749990314E-2</v>
      </c>
      <c r="DZ16" s="156">
        <f t="shared" si="48"/>
        <v>2.2487554057782244E-2</v>
      </c>
      <c r="EA16" s="156">
        <f t="shared" si="48"/>
        <v>8.7200936314686395E-3</v>
      </c>
      <c r="EB16" s="156">
        <f t="shared" si="48"/>
        <v>4.6180589720883347E-3</v>
      </c>
    </row>
    <row r="17" spans="1:116">
      <c r="B17" s="3" t="s">
        <v>1556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166"/>
      <c r="BI17" s="166"/>
      <c r="BJ17" s="166"/>
      <c r="BK17" s="166"/>
      <c r="BL17" s="87"/>
      <c r="BM17" s="87"/>
      <c r="BN17" s="87"/>
      <c r="BO17" s="87"/>
      <c r="BP17" s="87"/>
      <c r="BQ17" s="7"/>
      <c r="BR17" s="7"/>
      <c r="BS17" s="7"/>
      <c r="BT17" s="7"/>
      <c r="BU17" s="7"/>
      <c r="BV17" s="7"/>
      <c r="BW17" s="7"/>
      <c r="BX17" s="7"/>
      <c r="BY17" s="7"/>
      <c r="BZ17" s="3"/>
      <c r="CA17" s="3"/>
      <c r="CB17" s="3"/>
      <c r="CC17" s="3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398">
        <v>6.9884193174935133E-2</v>
      </c>
      <c r="CQ17" s="398">
        <v>0.12937996514169009</v>
      </c>
      <c r="CR17" s="398">
        <v>0.11779555025296468</v>
      </c>
      <c r="CS17" s="398">
        <v>0.13600000000000001</v>
      </c>
      <c r="CT17" s="398">
        <v>4.9623877735375986E-2</v>
      </c>
      <c r="CU17" s="398">
        <v>9.0000000000000011E-3</v>
      </c>
      <c r="CV17" s="398">
        <v>9.0000000000000011E-3</v>
      </c>
      <c r="CW17" s="398"/>
      <c r="CX17" s="398"/>
      <c r="CY17" s="398"/>
      <c r="CZ17" s="398"/>
      <c r="DA17" s="398"/>
      <c r="DB17" s="398"/>
      <c r="DC17" s="398"/>
      <c r="DD17" s="398"/>
      <c r="DE17" s="398"/>
      <c r="DF17" s="398"/>
      <c r="DG17" s="398"/>
      <c r="DH17" s="398"/>
      <c r="DI17" s="398"/>
    </row>
    <row r="18" spans="1:116">
      <c r="B18" s="3" t="s">
        <v>1061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166"/>
      <c r="BI18" s="166"/>
      <c r="BJ18" s="166"/>
      <c r="BK18" s="166"/>
      <c r="BL18" s="87"/>
      <c r="BM18" s="87"/>
      <c r="BN18" s="87"/>
      <c r="BO18" s="87"/>
      <c r="BP18" s="87"/>
      <c r="BQ18" s="7"/>
      <c r="BR18" s="7"/>
      <c r="BS18" s="7"/>
      <c r="BT18" s="7"/>
      <c r="BU18" s="7"/>
      <c r="BV18" s="7"/>
      <c r="BW18" s="7"/>
      <c r="BX18" s="7"/>
      <c r="BY18" s="7"/>
      <c r="BZ18" s="3"/>
      <c r="CA18" s="3"/>
      <c r="CB18" s="3"/>
      <c r="CC18" s="3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>
        <f t="shared" ref="CP18:CX18" si="49">CP16+CP17</f>
        <v>4.569437264142176E-2</v>
      </c>
      <c r="CQ18" s="8">
        <f t="shared" si="49"/>
        <v>4.7406301043137089E-2</v>
      </c>
      <c r="CR18" s="8">
        <f t="shared" si="49"/>
        <v>1.5013922430289484E-2</v>
      </c>
      <c r="CS18" s="8">
        <f t="shared" si="49"/>
        <v>3.3812320238646665E-2</v>
      </c>
      <c r="CT18" s="8">
        <f t="shared" si="49"/>
        <v>3.4942694375862803E-2</v>
      </c>
      <c r="CU18" s="8">
        <f t="shared" si="49"/>
        <v>3.6563107472524441E-2</v>
      </c>
      <c r="CV18" s="8">
        <f t="shared" si="49"/>
        <v>1.934628305113139E-2</v>
      </c>
      <c r="CW18" s="8">
        <f t="shared" si="49"/>
        <v>-3.1821572214553506E-2</v>
      </c>
      <c r="CX18" s="8">
        <f t="shared" si="49"/>
        <v>-3.4001392843165057E-2</v>
      </c>
      <c r="CY18" s="8">
        <f t="shared" ref="CY18:CZ18" si="50">CY16+CY17</f>
        <v>-6.0980563814057254E-2</v>
      </c>
      <c r="CZ18" s="8">
        <f t="shared" si="50"/>
        <v>-5.34143043069365E-2</v>
      </c>
      <c r="DA18" s="8">
        <f t="shared" ref="DA18:DB18" si="51">DA16+DA17</f>
        <v>-4.7039249890793777E-2</v>
      </c>
      <c r="DB18" s="8">
        <f t="shared" si="51"/>
        <v>-7.1519385703024407E-2</v>
      </c>
      <c r="DC18" s="8">
        <f t="shared" ref="DC18:DD18" si="52">DC16+DC17</f>
        <v>-1.9139598734988383E-2</v>
      </c>
      <c r="DD18" s="8">
        <f t="shared" si="52"/>
        <v>-3.3484520803559792E-2</v>
      </c>
      <c r="DE18" s="8">
        <f t="shared" ref="DE18:DF18" si="53">DE16+DE17</f>
        <v>-5.8335472811661737E-2</v>
      </c>
      <c r="DF18" s="8">
        <f t="shared" si="53"/>
        <v>-3.2758188646274555E-2</v>
      </c>
      <c r="DG18" s="8">
        <f t="shared" ref="DG18:DH18" si="54">DG16+DG17</f>
        <v>-5.4682972816356923E-2</v>
      </c>
      <c r="DH18" s="8">
        <f t="shared" si="54"/>
        <v>-6.5740398054748184E-2</v>
      </c>
      <c r="DI18" s="8">
        <f t="shared" ref="DI18:DJ18" si="55">DI16+DI17</f>
        <v>-5.3678650707045028E-2</v>
      </c>
      <c r="DJ18" s="8">
        <f t="shared" si="55"/>
        <v>-0.2324741942416032</v>
      </c>
      <c r="DK18" s="8">
        <f t="shared" ref="DK18" si="56">DK16+DK17</f>
        <v>-0.25990130767506481</v>
      </c>
      <c r="DL18" s="8"/>
    </row>
    <row r="19" spans="1:116">
      <c r="B19" s="3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166"/>
      <c r="BI19" s="166"/>
      <c r="BJ19" s="166"/>
      <c r="BK19" s="166"/>
      <c r="BL19" s="87"/>
      <c r="BM19" s="87"/>
      <c r="BN19" s="87"/>
      <c r="BO19" s="87"/>
      <c r="BP19" s="87"/>
      <c r="BQ19" s="7"/>
      <c r="BR19" s="7"/>
      <c r="BS19" s="7"/>
      <c r="BT19" s="7"/>
      <c r="BU19" s="7"/>
      <c r="BV19" s="7"/>
      <c r="BW19" s="7"/>
      <c r="BX19" s="7"/>
      <c r="BY19" s="7"/>
      <c r="BZ19" s="3"/>
      <c r="CA19" s="3"/>
      <c r="CB19" s="3"/>
      <c r="CC19" s="3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</row>
    <row r="20" spans="1:116">
      <c r="B20" s="3" t="s">
        <v>731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>
        <f t="shared" ref="N20:Y20" si="57">N123-N16</f>
        <v>18951.700000000012</v>
      </c>
      <c r="O20" s="87">
        <f t="shared" si="57"/>
        <v>11891.799999999988</v>
      </c>
      <c r="P20" s="87">
        <f t="shared" si="57"/>
        <v>15715</v>
      </c>
      <c r="Q20" s="87">
        <f t="shared" si="57"/>
        <v>12108.200000000012</v>
      </c>
      <c r="R20" s="87">
        <f t="shared" si="57"/>
        <v>20298.299999999988</v>
      </c>
      <c r="S20" s="87">
        <f t="shared" si="57"/>
        <v>13934.950000000012</v>
      </c>
      <c r="T20" s="87">
        <f t="shared" si="57"/>
        <v>15660.649999999994</v>
      </c>
      <c r="U20" s="87">
        <f t="shared" si="57"/>
        <v>12521.5</v>
      </c>
      <c r="V20" s="87">
        <f t="shared" si="57"/>
        <v>20410.200000000012</v>
      </c>
      <c r="W20" s="87">
        <f t="shared" si="57"/>
        <v>21121.799999999988</v>
      </c>
      <c r="X20" s="87">
        <f t="shared" si="57"/>
        <v>19855.850000000006</v>
      </c>
      <c r="Y20" s="87">
        <f t="shared" si="57"/>
        <v>17950</v>
      </c>
      <c r="Z20" s="87">
        <f t="shared" ref="Z20:AE20" si="58">Z132-Z16</f>
        <v>42525.200000000012</v>
      </c>
      <c r="AA20" s="87">
        <f t="shared" si="58"/>
        <v>28925.5</v>
      </c>
      <c r="AB20" s="87">
        <f t="shared" si="58"/>
        <v>38957.900000000023</v>
      </c>
      <c r="AC20" s="87">
        <f t="shared" si="58"/>
        <v>34832</v>
      </c>
      <c r="AD20" s="87">
        <f t="shared" si="58"/>
        <v>43000.5</v>
      </c>
      <c r="AE20" s="87">
        <f t="shared" si="58"/>
        <v>28004.799999999988</v>
      </c>
      <c r="AF20" s="87">
        <f t="shared" ref="AF20:AP20" si="59">AF132-AF16</f>
        <v>27187.299999999988</v>
      </c>
      <c r="AG20" s="87">
        <f t="shared" si="59"/>
        <v>26290.899999999994</v>
      </c>
      <c r="AH20" s="87">
        <f t="shared" si="59"/>
        <v>31366.275000000023</v>
      </c>
      <c r="AI20" s="87">
        <f t="shared" si="59"/>
        <v>26938.055999999982</v>
      </c>
      <c r="AJ20" s="87">
        <f t="shared" si="59"/>
        <v>28157.763000000006</v>
      </c>
      <c r="AK20" s="87">
        <f t="shared" si="59"/>
        <v>28014.866000000009</v>
      </c>
      <c r="AL20" s="87">
        <f t="shared" si="59"/>
        <v>32142.695000000007</v>
      </c>
      <c r="AM20" s="87">
        <f t="shared" si="59"/>
        <v>24859.321999999986</v>
      </c>
      <c r="AN20" s="87">
        <f t="shared" si="59"/>
        <v>18538.180499999988</v>
      </c>
      <c r="AO20" s="87">
        <f t="shared" si="59"/>
        <v>24210.420000000013</v>
      </c>
      <c r="AP20" s="87">
        <f t="shared" si="59"/>
        <v>30106.96650000001</v>
      </c>
      <c r="AQ20" s="87">
        <f t="shared" ref="AQ20:AW20" si="60">AQ132-AQ16</f>
        <v>-3888.36599999998</v>
      </c>
      <c r="AR20" s="87">
        <f t="shared" si="60"/>
        <v>-7598.140000000014</v>
      </c>
      <c r="AS20" s="87">
        <f t="shared" si="60"/>
        <v>-7063.4274999999907</v>
      </c>
      <c r="AT20" s="87">
        <f t="shared" si="60"/>
        <v>-5814.0619999999763</v>
      </c>
      <c r="AU20" s="87">
        <f t="shared" si="60"/>
        <v>-4995.3564999999944</v>
      </c>
      <c r="AV20" s="87">
        <f t="shared" si="60"/>
        <v>-5724.4899999999907</v>
      </c>
      <c r="AW20" s="87">
        <f t="shared" si="60"/>
        <v>-2861.9979999999923</v>
      </c>
      <c r="AX20" s="87">
        <f t="shared" ref="AX20:BE20" si="61">AX132-AX16</f>
        <v>-3893.3099999999977</v>
      </c>
      <c r="AY20" s="87">
        <f t="shared" si="61"/>
        <v>43732.150499999989</v>
      </c>
      <c r="AZ20" s="87">
        <f t="shared" si="61"/>
        <v>41742.475999999995</v>
      </c>
      <c r="BA20" s="87">
        <f t="shared" si="61"/>
        <v>45855.065000000002</v>
      </c>
      <c r="BB20" s="87">
        <f t="shared" si="61"/>
        <v>50184.842499999999</v>
      </c>
      <c r="BC20" s="87">
        <f t="shared" si="61"/>
        <v>44825.453999999998</v>
      </c>
      <c r="BD20" s="87">
        <f t="shared" si="61"/>
        <v>33785.728000000003</v>
      </c>
      <c r="BE20" s="87">
        <f t="shared" si="61"/>
        <v>63696.687999999995</v>
      </c>
      <c r="BF20" s="87">
        <f t="shared" ref="BF20" si="62">BF132-BF16</f>
        <v>77820.729499999987</v>
      </c>
      <c r="BG20" s="87">
        <f>BG132-BG16</f>
        <v>72191.89499999999</v>
      </c>
      <c r="BH20" s="87">
        <f>BH132-BH16</f>
        <v>80342.456000000006</v>
      </c>
      <c r="BI20" s="87">
        <f>BI132-BI16</f>
        <v>79664.508000000002</v>
      </c>
      <c r="BJ20" s="87">
        <f t="shared" ref="BJ20:BK20" si="63">BJ132-BJ16</f>
        <v>90447.173999999999</v>
      </c>
      <c r="BK20" s="87">
        <f t="shared" si="63"/>
        <v>76485.247999999992</v>
      </c>
      <c r="BL20" s="87">
        <f t="shared" ref="BL20:BN20" si="64">BL132-BL16</f>
        <v>84388.239999999991</v>
      </c>
      <c r="BM20" s="87">
        <f t="shared" si="64"/>
        <v>68129.88</v>
      </c>
      <c r="BN20" s="87">
        <f t="shared" si="64"/>
        <v>71577.844000000012</v>
      </c>
      <c r="BO20" s="87">
        <f t="shared" ref="BO20:BP20" si="65">BO132-BO16</f>
        <v>68749.761999999988</v>
      </c>
      <c r="BP20" s="87">
        <f t="shared" si="65"/>
        <v>64845.603999999992</v>
      </c>
      <c r="BQ20" s="87">
        <f t="shared" ref="BQ20:BR20" si="66">BQ132-BQ16</f>
        <v>61371.016000000003</v>
      </c>
      <c r="BR20" s="87">
        <f t="shared" si="66"/>
        <v>91265.616500000004</v>
      </c>
      <c r="BS20" s="87"/>
      <c r="BT20" s="87"/>
      <c r="BU20" s="87"/>
      <c r="BV20" s="87"/>
      <c r="BW20" s="7"/>
      <c r="BX20" s="7"/>
      <c r="BY20" s="7"/>
      <c r="BZ20" s="3"/>
      <c r="CA20" s="3"/>
      <c r="CB20" s="3"/>
      <c r="CC20" s="3"/>
      <c r="CD20" s="8"/>
      <c r="CE20" s="8"/>
      <c r="CF20" s="8"/>
      <c r="CG20" s="8"/>
      <c r="CH20" s="8"/>
      <c r="CI20" s="8"/>
      <c r="CJ20" s="8"/>
      <c r="CK20" s="8"/>
      <c r="CL20" s="8">
        <f t="shared" ref="CL20:DK20" si="67">AA20/W20-1</f>
        <v>0.36946188298345861</v>
      </c>
      <c r="CM20" s="8">
        <f t="shared" si="67"/>
        <v>0.96203637718858737</v>
      </c>
      <c r="CN20" s="8">
        <f t="shared" si="67"/>
        <v>0.9405013927576602</v>
      </c>
      <c r="CO20" s="8">
        <f t="shared" si="67"/>
        <v>1.1176902166244673E-2</v>
      </c>
      <c r="CP20" s="8">
        <f t="shared" si="67"/>
        <v>-3.1830046153048741E-2</v>
      </c>
      <c r="CQ20" s="8">
        <f t="shared" si="67"/>
        <v>-0.30213640879000225</v>
      </c>
      <c r="CR20" s="8">
        <f t="shared" si="67"/>
        <v>-0.24520842903077644</v>
      </c>
      <c r="CS20" s="8">
        <f t="shared" si="67"/>
        <v>-0.27056022604388263</v>
      </c>
      <c r="CT20" s="8">
        <f t="shared" si="67"/>
        <v>-3.8091470033708719E-2</v>
      </c>
      <c r="CU20" s="8">
        <f t="shared" si="67"/>
        <v>3.5695453391841658E-2</v>
      </c>
      <c r="CV20" s="8">
        <f t="shared" si="67"/>
        <v>6.5572726684899107E-2</v>
      </c>
      <c r="CW20" s="8">
        <f t="shared" si="67"/>
        <v>2.4753337780784701E-2</v>
      </c>
      <c r="CX20" s="8">
        <f t="shared" si="67"/>
        <v>-7.7167186822983735E-2</v>
      </c>
      <c r="CY20" s="8">
        <f t="shared" si="67"/>
        <v>-0.34163163103546312</v>
      </c>
      <c r="CZ20" s="8">
        <f t="shared" si="67"/>
        <v>-0.1358009708131388</v>
      </c>
      <c r="DA20" s="8">
        <f t="shared" si="67"/>
        <v>-6.333409504087939E-2</v>
      </c>
      <c r="DB20" s="8">
        <f t="shared" si="67"/>
        <v>-1.1564148048768177</v>
      </c>
      <c r="DC20" s="8">
        <f t="shared" si="67"/>
        <v>-1.4098643877159369</v>
      </c>
      <c r="DD20" s="8">
        <f t="shared" si="67"/>
        <v>-1.2917515474741861</v>
      </c>
      <c r="DE20" s="8">
        <f t="shared" si="67"/>
        <v>-1.1931135107882747</v>
      </c>
      <c r="DF20" s="8">
        <f t="shared" si="67"/>
        <v>0.28469297900455359</v>
      </c>
      <c r="DG20" s="8">
        <f t="shared" si="67"/>
        <v>-0.24659324518895676</v>
      </c>
      <c r="DH20" s="8">
        <f t="shared" si="67"/>
        <v>-0.59481455709710396</v>
      </c>
      <c r="DI20" s="8">
        <f t="shared" si="67"/>
        <v>-0.33036317810164162</v>
      </c>
      <c r="DJ20" s="8">
        <f t="shared" si="67"/>
        <v>-9.7545604602994871</v>
      </c>
      <c r="DK20" s="8">
        <f t="shared" si="67"/>
        <v>-8.2919117685593058</v>
      </c>
      <c r="DL20" s="8"/>
    </row>
    <row r="21" spans="1:116">
      <c r="B21" s="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Z21" s="3"/>
      <c r="CA21" s="3"/>
      <c r="CB21" s="3"/>
      <c r="CC21" s="3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</row>
    <row r="22" spans="1:116">
      <c r="B22" s="3" t="s">
        <v>39</v>
      </c>
      <c r="C22" s="87"/>
      <c r="D22" s="87"/>
      <c r="E22" s="87"/>
      <c r="F22" s="87"/>
      <c r="G22" s="87"/>
      <c r="H22" s="87"/>
      <c r="I22" s="87">
        <f t="shared" ref="I22:X22" si="68">I16-I25</f>
        <v>158093.95000000001</v>
      </c>
      <c r="J22" s="87">
        <f t="shared" si="68"/>
        <v>175755.8</v>
      </c>
      <c r="K22" s="87">
        <f t="shared" si="68"/>
        <v>155499</v>
      </c>
      <c r="L22" s="87">
        <f t="shared" si="68"/>
        <v>138484.79999999999</v>
      </c>
      <c r="M22" s="87">
        <f t="shared" si="68"/>
        <v>141385.20000000001</v>
      </c>
      <c r="N22" s="87">
        <f t="shared" si="68"/>
        <v>148870.29999999999</v>
      </c>
      <c r="O22" s="87">
        <f t="shared" si="68"/>
        <v>149927.20000000001</v>
      </c>
      <c r="P22" s="87">
        <f t="shared" si="68"/>
        <v>155702</v>
      </c>
      <c r="Q22" s="87">
        <f t="shared" si="68"/>
        <v>155182.79999999999</v>
      </c>
      <c r="R22" s="87">
        <f t="shared" si="68"/>
        <v>171121.7</v>
      </c>
      <c r="S22" s="87">
        <f t="shared" si="68"/>
        <v>168466.05</v>
      </c>
      <c r="T22" s="87">
        <f t="shared" si="68"/>
        <v>168378.35</v>
      </c>
      <c r="U22" s="87">
        <f t="shared" si="68"/>
        <v>172798.5</v>
      </c>
      <c r="V22" s="87">
        <f t="shared" si="68"/>
        <v>186227.8</v>
      </c>
      <c r="W22" s="87">
        <f t="shared" si="68"/>
        <v>194577.2</v>
      </c>
      <c r="X22" s="87">
        <f t="shared" si="68"/>
        <v>193140.15</v>
      </c>
      <c r="Y22" s="87">
        <f>Y16-Y25</f>
        <v>194918</v>
      </c>
      <c r="Z22" s="87">
        <f t="shared" ref="Z22:AW22" si="69">Z16-Z25</f>
        <v>210568.8</v>
      </c>
      <c r="AA22" s="87">
        <f t="shared" si="69"/>
        <v>207648.5</v>
      </c>
      <c r="AB22" s="87">
        <f t="shared" si="69"/>
        <v>209807.09999999998</v>
      </c>
      <c r="AC22" s="87">
        <f t="shared" si="69"/>
        <v>211541</v>
      </c>
      <c r="AD22" s="87">
        <f t="shared" si="69"/>
        <v>221334.5</v>
      </c>
      <c r="AE22" s="87">
        <f t="shared" si="69"/>
        <v>191786.2</v>
      </c>
      <c r="AF22" s="87">
        <f t="shared" si="69"/>
        <v>175945.7</v>
      </c>
      <c r="AG22" s="87">
        <f t="shared" si="69"/>
        <v>170590.1</v>
      </c>
      <c r="AH22" s="87">
        <f t="shared" si="69"/>
        <v>186589.72499999998</v>
      </c>
      <c r="AI22" s="87">
        <f t="shared" si="69"/>
        <v>158502.94400000002</v>
      </c>
      <c r="AJ22" s="87">
        <f t="shared" si="69"/>
        <v>149089.23699999999</v>
      </c>
      <c r="AK22" s="87">
        <f t="shared" si="69"/>
        <v>137714.13399999999</v>
      </c>
      <c r="AL22" s="87">
        <f t="shared" si="69"/>
        <v>159605.30499999999</v>
      </c>
      <c r="AM22" s="87">
        <f t="shared" si="69"/>
        <v>98768.678000000014</v>
      </c>
      <c r="AN22" s="87">
        <f t="shared" si="69"/>
        <v>87137.819500000012</v>
      </c>
      <c r="AO22" s="87">
        <f t="shared" si="69"/>
        <v>79473.579999999987</v>
      </c>
      <c r="AP22" s="87">
        <f t="shared" si="69"/>
        <v>81292.03349999999</v>
      </c>
      <c r="AQ22" s="87">
        <f t="shared" si="69"/>
        <v>102155.36599999998</v>
      </c>
      <c r="AR22" s="87">
        <f t="shared" si="69"/>
        <v>106553.14000000001</v>
      </c>
      <c r="AS22" s="87">
        <f t="shared" si="69"/>
        <v>96914.427499999991</v>
      </c>
      <c r="AT22" s="87">
        <f t="shared" si="69"/>
        <v>109739.06199999998</v>
      </c>
      <c r="AU22" s="87">
        <f t="shared" si="69"/>
        <v>94535.356499999994</v>
      </c>
      <c r="AV22" s="87">
        <f t="shared" si="69"/>
        <v>255758.49</v>
      </c>
      <c r="AW22" s="87">
        <f t="shared" si="69"/>
        <v>246103.99799999999</v>
      </c>
      <c r="AX22" s="87">
        <f t="shared" ref="AX22:BE22" si="70">AX16-AX25</f>
        <v>260822.31</v>
      </c>
      <c r="AY22" s="87">
        <f t="shared" si="70"/>
        <v>196846.84950000001</v>
      </c>
      <c r="AZ22" s="87">
        <f t="shared" si="70"/>
        <v>189286.524</v>
      </c>
      <c r="BA22" s="87">
        <f t="shared" si="70"/>
        <v>191590.935</v>
      </c>
      <c r="BB22" s="87">
        <f t="shared" si="70"/>
        <v>191238.1575</v>
      </c>
      <c r="BC22" s="87">
        <f t="shared" si="70"/>
        <v>198984.546</v>
      </c>
      <c r="BD22" s="87">
        <f t="shared" si="70"/>
        <v>190966.272</v>
      </c>
      <c r="BE22" s="87">
        <f t="shared" si="70"/>
        <v>198597.31200000001</v>
      </c>
      <c r="BF22" s="87">
        <f t="shared" ref="BF22" si="71">BF16-BF25</f>
        <v>207754.27050000001</v>
      </c>
      <c r="BG22" s="87">
        <f>BG16-BG25</f>
        <v>209271.10500000001</v>
      </c>
      <c r="BH22" s="87">
        <f>BH16-BH25</f>
        <v>217076.54399999999</v>
      </c>
      <c r="BI22" s="87">
        <f>BI16-BI25</f>
        <v>217254.492</v>
      </c>
      <c r="BJ22" s="87">
        <f t="shared" ref="BJ22:BK22" si="72">BJ16-BJ25</f>
        <v>221438.826</v>
      </c>
      <c r="BK22" s="87">
        <f t="shared" si="72"/>
        <v>216007.75200000001</v>
      </c>
      <c r="BL22" s="87">
        <f t="shared" ref="BL22:BN22" si="73">BL16-BL25</f>
        <v>217157.76000000001</v>
      </c>
      <c r="BM22" s="87">
        <f t="shared" si="73"/>
        <v>215862.12</v>
      </c>
      <c r="BN22" s="87">
        <f t="shared" si="73"/>
        <v>217257.15599999999</v>
      </c>
      <c r="BO22" s="87">
        <f t="shared" ref="BO22:BP22" si="74">BO16-BO25</f>
        <v>220865.23800000001</v>
      </c>
      <c r="BP22" s="87">
        <f t="shared" si="74"/>
        <v>219051.39600000001</v>
      </c>
      <c r="BQ22" s="87">
        <f t="shared" ref="BQ22:BR22" si="75">BQ16-BQ25</f>
        <v>216858.984</v>
      </c>
      <c r="BR22" s="87">
        <f t="shared" si="75"/>
        <v>218003.3835</v>
      </c>
      <c r="BS22" s="87"/>
      <c r="BT22" s="87"/>
      <c r="BU22" s="87"/>
      <c r="BV22" s="87"/>
      <c r="BW22" s="7"/>
      <c r="BX22" s="7"/>
      <c r="BY22" s="7"/>
      <c r="BZ22" s="3"/>
      <c r="CA22" s="3"/>
      <c r="CB22" s="3"/>
      <c r="CC22" s="3"/>
      <c r="CD22" s="8">
        <f t="shared" ref="CD22:DK22" si="76">S22/O22-1</f>
        <v>0.12365234593856211</v>
      </c>
      <c r="CE22" s="8">
        <f t="shared" si="76"/>
        <v>8.1414175797356547E-2</v>
      </c>
      <c r="CF22" s="8">
        <f t="shared" si="76"/>
        <v>0.1135158020089857</v>
      </c>
      <c r="CG22" s="8">
        <f t="shared" si="76"/>
        <v>8.8276939745222105E-2</v>
      </c>
      <c r="CH22" s="8">
        <f t="shared" si="76"/>
        <v>0.15499354320944803</v>
      </c>
      <c r="CI22" s="8">
        <f t="shared" si="76"/>
        <v>0.14706047422367541</v>
      </c>
      <c r="CJ22" s="8">
        <f t="shared" si="76"/>
        <v>0.12800747691675562</v>
      </c>
      <c r="CK22" s="8">
        <f t="shared" si="76"/>
        <v>0.13070551228119531</v>
      </c>
      <c r="CL22" s="8">
        <f t="shared" si="76"/>
        <v>6.7177963296830123E-2</v>
      </c>
      <c r="CM22" s="8">
        <f t="shared" si="76"/>
        <v>8.6294589705972591E-2</v>
      </c>
      <c r="CN22" s="8">
        <f t="shared" si="76"/>
        <v>8.5282016027252494E-2</v>
      </c>
      <c r="CO22" s="8">
        <f t="shared" si="76"/>
        <v>5.1126757620312269E-2</v>
      </c>
      <c r="CP22" s="8">
        <f t="shared" si="76"/>
        <v>-7.6390149700094057E-2</v>
      </c>
      <c r="CQ22" s="8">
        <f t="shared" si="76"/>
        <v>-0.1613930129151967</v>
      </c>
      <c r="CR22" s="8">
        <f t="shared" si="76"/>
        <v>-0.19358374972227599</v>
      </c>
      <c r="CS22" s="8">
        <f t="shared" si="76"/>
        <v>-0.15697857767315992</v>
      </c>
      <c r="CT22" s="8">
        <f t="shared" si="76"/>
        <v>-0.17354353962902436</v>
      </c>
      <c r="CU22" s="8">
        <f t="shared" si="76"/>
        <v>-0.15264063287707519</v>
      </c>
      <c r="CV22" s="8">
        <f t="shared" si="76"/>
        <v>-0.19271907338116345</v>
      </c>
      <c r="CW22" s="8">
        <f t="shared" si="76"/>
        <v>-0.1446190030024429</v>
      </c>
      <c r="CX22" s="8">
        <f t="shared" si="76"/>
        <v>-0.37686534074723554</v>
      </c>
      <c r="CY22" s="8">
        <f t="shared" si="76"/>
        <v>-0.41553246060277294</v>
      </c>
      <c r="CZ22" s="8">
        <f t="shared" si="76"/>
        <v>-0.42290905303881154</v>
      </c>
      <c r="DA22" s="8">
        <f t="shared" si="76"/>
        <v>-0.49066834902511547</v>
      </c>
      <c r="DB22" s="8">
        <f t="shared" si="76"/>
        <v>3.428908909765882E-2</v>
      </c>
      <c r="DC22" s="8">
        <f t="shared" si="76"/>
        <v>0.22281164035783574</v>
      </c>
      <c r="DD22" s="8">
        <f t="shared" si="76"/>
        <v>0.2194546602782963</v>
      </c>
      <c r="DE22" s="8">
        <f t="shared" si="76"/>
        <v>0.34993623944712837</v>
      </c>
      <c r="DF22" s="8">
        <f t="shared" si="76"/>
        <v>-7.4592356704981988E-2</v>
      </c>
      <c r="DG22" s="8">
        <f t="shared" si="76"/>
        <v>1.4002905029359054</v>
      </c>
      <c r="DH22" s="8">
        <f t="shared" si="76"/>
        <v>1.5393948491312091</v>
      </c>
      <c r="DI22" s="8">
        <f t="shared" si="76"/>
        <v>1.3767499488924013</v>
      </c>
      <c r="DJ22" s="8">
        <f t="shared" si="76"/>
        <v>1.0822563830919707</v>
      </c>
      <c r="DK22" s="8">
        <f t="shared" si="76"/>
        <v>-0.25990130767506481</v>
      </c>
      <c r="DL22" s="8"/>
    </row>
    <row r="23" spans="1:116">
      <c r="B23" s="3" t="s">
        <v>668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166"/>
      <c r="BI23" s="166"/>
      <c r="BJ23" s="166"/>
      <c r="BK23" s="166"/>
      <c r="BL23" s="87"/>
      <c r="BM23" s="87"/>
      <c r="BN23" s="87"/>
      <c r="BO23" s="87"/>
      <c r="BP23" s="87"/>
      <c r="BQ23" s="5"/>
      <c r="BR23" s="5"/>
      <c r="BS23" s="5"/>
      <c r="BT23" s="5"/>
      <c r="BU23" s="5"/>
      <c r="BV23" s="5"/>
      <c r="BW23" s="5"/>
      <c r="BX23" s="5"/>
      <c r="BY23" s="5"/>
      <c r="BZ23" s="3"/>
      <c r="CA23" s="3"/>
      <c r="CB23" s="3"/>
      <c r="CC23" s="3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</row>
    <row r="24" spans="1:116">
      <c r="B24" s="3"/>
      <c r="C24" s="87"/>
      <c r="D24" s="87"/>
      <c r="E24" s="87"/>
      <c r="F24" s="87"/>
      <c r="G24" s="87"/>
      <c r="H24" s="87" t="s">
        <v>38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166"/>
      <c r="BI24" s="166"/>
      <c r="BJ24" s="166"/>
      <c r="BK24" s="166"/>
      <c r="BL24" s="87"/>
      <c r="BM24" s="87"/>
      <c r="BN24" s="87"/>
      <c r="BO24" s="87"/>
      <c r="BP24" s="87"/>
      <c r="BQ24" s="5"/>
      <c r="BR24" s="5"/>
      <c r="BS24" s="5"/>
      <c r="BT24" s="5"/>
      <c r="BU24" s="5"/>
      <c r="BV24" s="5"/>
      <c r="BW24" s="5"/>
      <c r="BX24" s="5"/>
      <c r="BY24" s="5"/>
      <c r="BZ24" s="3"/>
      <c r="CA24" s="3"/>
      <c r="CB24" s="3"/>
      <c r="CC24" s="3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</row>
    <row r="25" spans="1:116">
      <c r="B25" s="3" t="s">
        <v>37</v>
      </c>
      <c r="C25" s="87">
        <f>G25/1.32</f>
        <v>12044.69696969697</v>
      </c>
      <c r="D25" s="87">
        <f>H25/1.35</f>
        <v>12855.555555555555</v>
      </c>
      <c r="E25" s="87">
        <f>I25/1.28</f>
        <v>14650</v>
      </c>
      <c r="F25" s="87">
        <v>16051</v>
      </c>
      <c r="G25" s="87">
        <v>15899</v>
      </c>
      <c r="H25" s="87">
        <v>17355</v>
      </c>
      <c r="I25" s="87">
        <v>18752</v>
      </c>
      <c r="J25" s="87">
        <v>21580</v>
      </c>
      <c r="K25" s="87">
        <v>21810</v>
      </c>
      <c r="L25" s="87">
        <v>23841</v>
      </c>
      <c r="M25" s="87">
        <v>25305</v>
      </c>
      <c r="N25" s="87">
        <v>28550</v>
      </c>
      <c r="O25" s="87">
        <v>30149</v>
      </c>
      <c r="P25" s="87">
        <v>34906</v>
      </c>
      <c r="Q25" s="87">
        <v>38523</v>
      </c>
      <c r="R25" s="87">
        <v>44530</v>
      </c>
      <c r="S25" s="87">
        <v>46350</v>
      </c>
      <c r="T25" s="87">
        <v>51373</v>
      </c>
      <c r="U25" s="87">
        <v>54501</v>
      </c>
      <c r="V25" s="87">
        <v>56087</v>
      </c>
      <c r="W25" s="87">
        <v>55312</v>
      </c>
      <c r="X25" s="87">
        <v>62157</v>
      </c>
      <c r="Y25" s="87">
        <v>65188</v>
      </c>
      <c r="Z25" s="87">
        <v>65376</v>
      </c>
      <c r="AA25" s="87">
        <v>65578</v>
      </c>
      <c r="AB25" s="87">
        <v>66933</v>
      </c>
      <c r="AC25" s="87">
        <v>69841</v>
      </c>
      <c r="AD25" s="87">
        <v>73327</v>
      </c>
      <c r="AE25" s="87">
        <v>74831</v>
      </c>
      <c r="AF25" s="87">
        <v>78109</v>
      </c>
      <c r="AG25" s="87">
        <v>81871</v>
      </c>
      <c r="AH25" s="266">
        <v>77961</v>
      </c>
      <c r="AI25" s="266">
        <v>104200</v>
      </c>
      <c r="AJ25" s="266">
        <v>111968</v>
      </c>
      <c r="AK25" s="266">
        <v>117359</v>
      </c>
      <c r="AL25" s="266">
        <v>96527</v>
      </c>
      <c r="AM25" s="618">
        <v>155002</v>
      </c>
      <c r="AN25" s="618">
        <v>158000</v>
      </c>
      <c r="AO25" s="576">
        <v>161975</v>
      </c>
      <c r="AP25" s="576">
        <v>162792</v>
      </c>
      <c r="AQ25" s="618">
        <v>163000</v>
      </c>
      <c r="AR25" s="618">
        <v>164000</v>
      </c>
      <c r="AS25" s="576">
        <v>166507</v>
      </c>
      <c r="AT25" s="576">
        <v>165878</v>
      </c>
      <c r="AU25" s="618">
        <v>161934</v>
      </c>
      <c r="AV25" s="618"/>
      <c r="AW25" s="576"/>
      <c r="AX25" s="576"/>
      <c r="AY25" s="576"/>
      <c r="AZ25" s="576"/>
      <c r="BA25" s="576"/>
      <c r="BB25" s="576"/>
      <c r="BC25" s="576"/>
      <c r="BD25" s="576"/>
      <c r="BE25" s="576"/>
      <c r="BF25" s="576"/>
      <c r="BG25" s="576"/>
      <c r="BH25" s="576"/>
      <c r="BI25" s="576"/>
      <c r="BJ25" s="576"/>
      <c r="BK25" s="576"/>
      <c r="BL25" s="576"/>
      <c r="BM25" s="576"/>
      <c r="BN25" s="576"/>
      <c r="BO25" s="576"/>
      <c r="BP25" s="576"/>
      <c r="BQ25" s="576"/>
      <c r="BR25" s="576"/>
      <c r="BS25" s="576"/>
      <c r="BT25" s="576"/>
      <c r="BU25" s="576"/>
      <c r="BV25" s="576"/>
      <c r="BW25" s="7"/>
      <c r="BX25" s="7"/>
      <c r="BY25" s="7"/>
      <c r="BZ25" s="8">
        <f t="shared" ref="BZ25:DK25" si="77">O25/K25-1</f>
        <v>0.38234754699679052</v>
      </c>
      <c r="CA25" s="8">
        <f t="shared" si="77"/>
        <v>0.46411643806887293</v>
      </c>
      <c r="CB25" s="8">
        <f t="shared" si="77"/>
        <v>0.522347362181387</v>
      </c>
      <c r="CC25" s="8">
        <f t="shared" si="77"/>
        <v>0.5597197898423818</v>
      </c>
      <c r="CD25" s="8">
        <f t="shared" si="77"/>
        <v>0.53736442336395895</v>
      </c>
      <c r="CE25" s="8">
        <f t="shared" si="77"/>
        <v>0.4717527072709562</v>
      </c>
      <c r="CF25" s="8">
        <f t="shared" si="77"/>
        <v>0.41476520520208715</v>
      </c>
      <c r="CG25" s="8">
        <f t="shared" si="77"/>
        <v>0.2595328991690995</v>
      </c>
      <c r="CH25" s="8">
        <f t="shared" si="77"/>
        <v>0.19335490830636459</v>
      </c>
      <c r="CI25" s="8">
        <f t="shared" si="77"/>
        <v>0.20991571448036916</v>
      </c>
      <c r="CJ25" s="8">
        <f t="shared" si="77"/>
        <v>0.1960881451716483</v>
      </c>
      <c r="CK25" s="8">
        <f t="shared" si="77"/>
        <v>0.16561770107154961</v>
      </c>
      <c r="CL25" s="8">
        <f t="shared" si="77"/>
        <v>0.18560167775527914</v>
      </c>
      <c r="CM25" s="8">
        <f t="shared" si="77"/>
        <v>7.6837685216468055E-2</v>
      </c>
      <c r="CN25" s="8">
        <f t="shared" si="77"/>
        <v>7.1378167760937528E-2</v>
      </c>
      <c r="CO25" s="8">
        <f t="shared" si="77"/>
        <v>0.12161955457660301</v>
      </c>
      <c r="CP25" s="8">
        <f t="shared" si="77"/>
        <v>0.14109914910488275</v>
      </c>
      <c r="CQ25" s="8">
        <f t="shared" si="77"/>
        <v>0.16697294309234612</v>
      </c>
      <c r="CR25" s="8">
        <f t="shared" si="77"/>
        <v>0.17224839277788129</v>
      </c>
      <c r="CS25" s="8">
        <f t="shared" si="77"/>
        <v>6.3196366958964578E-2</v>
      </c>
      <c r="CT25" s="8">
        <f t="shared" si="77"/>
        <v>0.39247103473159517</v>
      </c>
      <c r="CU25" s="8">
        <f t="shared" si="77"/>
        <v>0.43348397751859591</v>
      </c>
      <c r="CV25" s="8">
        <f t="shared" si="77"/>
        <v>0.43346239816296372</v>
      </c>
      <c r="CW25" s="8">
        <f t="shared" si="77"/>
        <v>0.23814471338233223</v>
      </c>
      <c r="CX25" s="8">
        <f t="shared" si="77"/>
        <v>0.48754318618042225</v>
      </c>
      <c r="CY25" s="8">
        <f t="shared" si="77"/>
        <v>0.4111174621320377</v>
      </c>
      <c r="CZ25" s="8">
        <f t="shared" si="77"/>
        <v>0.38016683850407729</v>
      </c>
      <c r="DA25" s="8">
        <f t="shared" si="77"/>
        <v>0.68649186238047388</v>
      </c>
      <c r="DB25" s="8">
        <f t="shared" si="77"/>
        <v>5.1599334202139246E-2</v>
      </c>
      <c r="DC25" s="8">
        <f t="shared" si="77"/>
        <v>3.7974683544303778E-2</v>
      </c>
      <c r="DD25" s="8">
        <f t="shared" si="77"/>
        <v>2.7979626485568732E-2</v>
      </c>
      <c r="DE25" s="8">
        <f t="shared" si="77"/>
        <v>1.8956705489213244E-2</v>
      </c>
      <c r="DF25" s="8">
        <f t="shared" si="77"/>
        <v>-6.5398773006134503E-3</v>
      </c>
      <c r="DG25" s="8">
        <f t="shared" si="77"/>
        <v>-1</v>
      </c>
      <c r="DH25" s="8">
        <f t="shared" si="77"/>
        <v>-1</v>
      </c>
      <c r="DI25" s="8">
        <f t="shared" si="77"/>
        <v>-1</v>
      </c>
      <c r="DJ25" s="8">
        <f t="shared" si="77"/>
        <v>-1</v>
      </c>
      <c r="DK25" s="8" t="e">
        <f t="shared" si="77"/>
        <v>#DIV/0!</v>
      </c>
      <c r="DL25" s="8"/>
    </row>
    <row r="26" spans="1:116">
      <c r="A26" t="s">
        <v>38</v>
      </c>
      <c r="B26" s="3" t="s">
        <v>63</v>
      </c>
      <c r="C26" s="7"/>
      <c r="D26" s="7"/>
      <c r="E26" s="3"/>
      <c r="F26" s="3"/>
      <c r="G26" s="5">
        <f t="shared" ref="G26:N26" si="78">G25/C25-1</f>
        <v>0.32000000000000006</v>
      </c>
      <c r="H26" s="5">
        <f t="shared" si="78"/>
        <v>0.35000000000000009</v>
      </c>
      <c r="I26" s="5">
        <f t="shared" si="78"/>
        <v>0.28000000000000003</v>
      </c>
      <c r="J26" s="5">
        <f t="shared" si="78"/>
        <v>0.34446451934458922</v>
      </c>
      <c r="K26" s="5">
        <f t="shared" si="78"/>
        <v>0.3717843889552801</v>
      </c>
      <c r="L26" s="5">
        <f t="shared" si="78"/>
        <v>0.37372515125324113</v>
      </c>
      <c r="M26" s="5">
        <f t="shared" si="78"/>
        <v>0.34945605802047774</v>
      </c>
      <c r="N26" s="5">
        <f t="shared" si="78"/>
        <v>0.32298424467099163</v>
      </c>
      <c r="O26" s="5">
        <f t="shared" ref="O26:AT26" si="79">O25/K25-1</f>
        <v>0.38234754699679052</v>
      </c>
      <c r="P26" s="5">
        <f t="shared" si="79"/>
        <v>0.46411643806887293</v>
      </c>
      <c r="Q26" s="5">
        <f t="shared" si="79"/>
        <v>0.522347362181387</v>
      </c>
      <c r="R26" s="5">
        <f t="shared" si="79"/>
        <v>0.5597197898423818</v>
      </c>
      <c r="S26" s="5">
        <f t="shared" si="79"/>
        <v>0.53736442336395895</v>
      </c>
      <c r="T26" s="5">
        <f t="shared" si="79"/>
        <v>0.4717527072709562</v>
      </c>
      <c r="U26" s="5">
        <f t="shared" si="79"/>
        <v>0.41476520520208715</v>
      </c>
      <c r="V26" s="5">
        <f t="shared" si="79"/>
        <v>0.2595328991690995</v>
      </c>
      <c r="W26" s="5">
        <f t="shared" si="79"/>
        <v>0.19335490830636459</v>
      </c>
      <c r="X26" s="5">
        <f t="shared" si="79"/>
        <v>0.20991571448036916</v>
      </c>
      <c r="Y26" s="5">
        <f t="shared" si="79"/>
        <v>0.1960881451716483</v>
      </c>
      <c r="Z26" s="5">
        <f t="shared" si="79"/>
        <v>0.16561770107154961</v>
      </c>
      <c r="AA26" s="5">
        <f t="shared" si="79"/>
        <v>0.18560167775527914</v>
      </c>
      <c r="AB26" s="5">
        <f t="shared" si="79"/>
        <v>7.6837685216468055E-2</v>
      </c>
      <c r="AC26" s="5">
        <f t="shared" si="79"/>
        <v>7.1378167760937528E-2</v>
      </c>
      <c r="AD26" s="5">
        <f t="shared" si="79"/>
        <v>0.12161955457660301</v>
      </c>
      <c r="AE26" s="5">
        <f t="shared" si="79"/>
        <v>0.14109914910488275</v>
      </c>
      <c r="AF26" s="5">
        <f t="shared" si="79"/>
        <v>0.16697294309234612</v>
      </c>
      <c r="AG26" s="5">
        <f t="shared" si="79"/>
        <v>0.17224839277788129</v>
      </c>
      <c r="AH26" s="5">
        <f t="shared" si="79"/>
        <v>6.3196366958964578E-2</v>
      </c>
      <c r="AI26" s="5">
        <f t="shared" si="79"/>
        <v>0.39247103473159517</v>
      </c>
      <c r="AJ26" s="5">
        <f t="shared" si="79"/>
        <v>0.43348397751859591</v>
      </c>
      <c r="AK26" s="5">
        <f t="shared" si="79"/>
        <v>0.43346239816296372</v>
      </c>
      <c r="AL26" s="5">
        <f t="shared" si="79"/>
        <v>0.23814471338233223</v>
      </c>
      <c r="AM26" s="5">
        <f t="shared" si="79"/>
        <v>0.48754318618042225</v>
      </c>
      <c r="AN26" s="5">
        <f t="shared" si="79"/>
        <v>0.4111174621320377</v>
      </c>
      <c r="AO26" s="5">
        <f t="shared" si="79"/>
        <v>0.38016683850407729</v>
      </c>
      <c r="AP26" s="5">
        <f t="shared" si="79"/>
        <v>0.68649186238047388</v>
      </c>
      <c r="AQ26" s="5">
        <f t="shared" si="79"/>
        <v>5.1599334202139246E-2</v>
      </c>
      <c r="AR26" s="5">
        <f t="shared" si="79"/>
        <v>3.7974683544303778E-2</v>
      </c>
      <c r="AS26" s="5">
        <f t="shared" si="79"/>
        <v>2.7979626485568732E-2</v>
      </c>
      <c r="AT26" s="5">
        <f t="shared" si="79"/>
        <v>1.8956705489213244E-2</v>
      </c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</row>
    <row r="27" spans="1:116">
      <c r="B27" s="3" t="s">
        <v>2</v>
      </c>
      <c r="C27" s="8">
        <f t="shared" ref="C27:H27" si="80">C25/C85</f>
        <v>7.1834873859063952E-2</v>
      </c>
      <c r="D27" s="8">
        <f t="shared" si="80"/>
        <v>7.4345238209982567E-2</v>
      </c>
      <c r="E27" s="8">
        <f t="shared" si="80"/>
        <v>8.1717575135545187E-2</v>
      </c>
      <c r="F27" s="8">
        <f t="shared" si="80"/>
        <v>8.0798775760870661E-2</v>
      </c>
      <c r="G27" s="8">
        <f t="shared" si="80"/>
        <v>8.7474416250357623E-2</v>
      </c>
      <c r="H27" s="8">
        <f t="shared" si="80"/>
        <v>9.5810399748259625E-2</v>
      </c>
      <c r="I27" s="8">
        <f t="shared" ref="I27:U27" si="81">I25/I16</f>
        <v>0.10603578990641289</v>
      </c>
      <c r="J27" s="8">
        <f t="shared" si="81"/>
        <v>0.10935674114884375</v>
      </c>
      <c r="K27" s="8">
        <f t="shared" si="81"/>
        <v>0.12300560039253507</v>
      </c>
      <c r="L27" s="8">
        <f t="shared" si="81"/>
        <v>0.14687129217906211</v>
      </c>
      <c r="M27" s="8">
        <f t="shared" si="81"/>
        <v>0.15180856463067413</v>
      </c>
      <c r="N27" s="8">
        <f t="shared" si="81"/>
        <v>0.16091732456770733</v>
      </c>
      <c r="O27" s="8">
        <f t="shared" si="81"/>
        <v>0.16742356846712669</v>
      </c>
      <c r="P27" s="8">
        <f t="shared" si="81"/>
        <v>0.1831297741962562</v>
      </c>
      <c r="Q27" s="8">
        <f t="shared" si="81"/>
        <v>0.19887375597426615</v>
      </c>
      <c r="R27" s="8">
        <f t="shared" si="81"/>
        <v>0.20649037313408611</v>
      </c>
      <c r="S27" s="8">
        <f t="shared" si="81"/>
        <v>0.2157660007248062</v>
      </c>
      <c r="T27" s="8">
        <f t="shared" si="81"/>
        <v>0.23377785847504462</v>
      </c>
      <c r="U27" s="8">
        <f t="shared" si="81"/>
        <v>0.23977615436901534</v>
      </c>
      <c r="V27" s="8">
        <f t="shared" ref="V27:AA27" si="82">V25/V16</f>
        <v>0.23146336913799737</v>
      </c>
      <c r="W27" s="8">
        <f t="shared" si="82"/>
        <v>0.22134610059178228</v>
      </c>
      <c r="X27" s="8">
        <f t="shared" si="82"/>
        <v>0.24346922791735043</v>
      </c>
      <c r="Y27" s="8">
        <f t="shared" si="82"/>
        <v>0.25062090070971066</v>
      </c>
      <c r="Z27" s="8">
        <f t="shared" si="82"/>
        <v>0.23691694860711274</v>
      </c>
      <c r="AA27" s="8">
        <f t="shared" si="82"/>
        <v>0.2400133222802327</v>
      </c>
      <c r="AB27" s="8">
        <f t="shared" ref="AB27:AL27" si="83">AB25/AB16</f>
        <v>0.24186231052167723</v>
      </c>
      <c r="AC27" s="8">
        <f t="shared" si="83"/>
        <v>0.24820706370698908</v>
      </c>
      <c r="AD27" s="8">
        <f t="shared" si="83"/>
        <v>0.24885164841691229</v>
      </c>
      <c r="AE27" s="8">
        <f t="shared" si="83"/>
        <v>0.28066831397224185</v>
      </c>
      <c r="AF27" s="8">
        <f t="shared" si="83"/>
        <v>0.30744953744213349</v>
      </c>
      <c r="AG27" s="8">
        <f t="shared" si="83"/>
        <v>0.32429154432108548</v>
      </c>
      <c r="AH27" s="8">
        <f t="shared" si="83"/>
        <v>0.29469206708845724</v>
      </c>
      <c r="AI27" s="8">
        <f t="shared" si="83"/>
        <v>0.39664572620853461</v>
      </c>
      <c r="AJ27" s="8">
        <f t="shared" si="83"/>
        <v>0.42890211084245866</v>
      </c>
      <c r="AK27" s="8">
        <f t="shared" si="83"/>
        <v>0.46009941603650034</v>
      </c>
      <c r="AL27" s="8">
        <f t="shared" si="83"/>
        <v>0.37686382434265758</v>
      </c>
      <c r="AM27" s="8">
        <f t="shared" ref="AM27:AN27" si="84">AM25/AM16</f>
        <v>0.61079554667856462</v>
      </c>
      <c r="AN27" s="8">
        <f t="shared" si="84"/>
        <v>0.64453538961171997</v>
      </c>
      <c r="AO27" s="8">
        <f t="shared" ref="AO27:AP27" si="85">AO25/AO16</f>
        <v>0.67084676994165804</v>
      </c>
      <c r="AP27" s="8">
        <f t="shared" si="85"/>
        <v>0.66695063034510205</v>
      </c>
      <c r="AQ27" s="8">
        <f t="shared" ref="AQ27:AR27" si="86">AQ25/AQ16</f>
        <v>0.61473392923905601</v>
      </c>
      <c r="AR27" s="8">
        <f t="shared" si="86"/>
        <v>0.60616557619697187</v>
      </c>
      <c r="AS27" s="8">
        <f t="shared" ref="AS27:AT27" si="87">AS25/AS16</f>
        <v>0.63209360597668163</v>
      </c>
      <c r="AT27" s="8">
        <f t="shared" si="87"/>
        <v>0.60184227636821708</v>
      </c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3"/>
      <c r="CA27" s="3"/>
      <c r="CB27" s="3"/>
      <c r="CC27" s="3"/>
      <c r="CD27" s="3"/>
      <c r="CE27" s="3"/>
      <c r="CF27" s="3"/>
      <c r="CG27" s="3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</row>
    <row r="28" spans="1:116">
      <c r="B28" s="3"/>
      <c r="C28" s="3"/>
      <c r="D28" s="3"/>
      <c r="E28" s="3"/>
      <c r="F28" s="3"/>
      <c r="G28" s="3"/>
      <c r="H28" s="3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11">
        <f>AVERAGE(AM29:AP29)</f>
        <v>0.84666666666666668</v>
      </c>
      <c r="AQ28" s="7"/>
      <c r="AR28" s="7"/>
      <c r="AS28" s="7"/>
      <c r="AT28" s="11">
        <f>AVERAGE(AQ29:AT29)</f>
        <v>1.6600000000000001</v>
      </c>
      <c r="AU28" s="7"/>
      <c r="AV28" s="7"/>
      <c r="AW28" s="7"/>
      <c r="AX28" s="11">
        <f>AVERAGE(AU29:AX29)</f>
        <v>3.4775047258979201</v>
      </c>
      <c r="AY28" s="7"/>
      <c r="AZ28" s="7"/>
      <c r="BA28" s="7"/>
      <c r="BB28" s="11">
        <f>AVERAGE(AY29:BB29)</f>
        <v>4.9113799621928163</v>
      </c>
      <c r="BC28" s="7"/>
      <c r="BD28" s="7"/>
      <c r="BE28" s="7"/>
      <c r="BF28" s="11">
        <f>AVERAGE(BC29:BF29)</f>
        <v>6.8895085066162558</v>
      </c>
      <c r="BG28" s="7"/>
      <c r="BJ28" s="11">
        <f>AVERAGE(BG29:BJ29)</f>
        <v>8.574669187145556</v>
      </c>
      <c r="BK28" s="16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3"/>
      <c r="CA28" s="3"/>
      <c r="CB28" s="3"/>
      <c r="CC28" s="3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</row>
    <row r="29" spans="1:116">
      <c r="B29" s="3" t="s">
        <v>2016</v>
      </c>
      <c r="C29" s="3"/>
      <c r="D29" s="3"/>
      <c r="E29" s="3"/>
      <c r="F29" s="3"/>
      <c r="G29" s="3"/>
      <c r="H29" s="3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380">
        <v>0.67</v>
      </c>
      <c r="AK29" s="380">
        <v>0.69</v>
      </c>
      <c r="AL29" s="380">
        <v>0.72</v>
      </c>
      <c r="AM29" s="7"/>
      <c r="AN29" s="380">
        <v>0.73</v>
      </c>
      <c r="AO29" s="380">
        <v>0.83</v>
      </c>
      <c r="AP29" s="380">
        <v>0.98</v>
      </c>
      <c r="AQ29" s="7"/>
      <c r="AR29" s="380">
        <v>1.24</v>
      </c>
      <c r="AS29" s="380">
        <v>1.67</v>
      </c>
      <c r="AT29" s="380">
        <v>2.0699999999999998</v>
      </c>
      <c r="AU29" s="380">
        <v>2.52</v>
      </c>
      <c r="AV29" s="380">
        <f>AU29/AU31*AV31</f>
        <v>3.196446124763705</v>
      </c>
      <c r="AW29" s="380">
        <f t="shared" ref="AW29:BC29" si="88">AV29/AV31*AW31</f>
        <v>3.8395463137996222</v>
      </c>
      <c r="AX29" s="380">
        <f t="shared" si="88"/>
        <v>4.3540264650283556</v>
      </c>
      <c r="AY29" s="380">
        <f t="shared" si="88"/>
        <v>4.6112665406427222</v>
      </c>
      <c r="AZ29" s="380">
        <f t="shared" si="88"/>
        <v>4.9304347826086961</v>
      </c>
      <c r="BA29" s="380">
        <f t="shared" si="88"/>
        <v>5.1257466918714556</v>
      </c>
      <c r="BB29" s="380">
        <f t="shared" si="88"/>
        <v>4.9780718336483929</v>
      </c>
      <c r="BC29" s="380">
        <f t="shared" si="88"/>
        <v>6.0880151228733457</v>
      </c>
      <c r="BD29" s="380">
        <f t="shared" ref="BD29" si="89">BC29/BC31*BD31</f>
        <v>6.6548960302457472</v>
      </c>
      <c r="BE29" s="380">
        <f t="shared" ref="BE29:BF29" si="90">BD29/BD31*BE31</f>
        <v>7.4266162570888463</v>
      </c>
      <c r="BF29" s="380">
        <f t="shared" si="90"/>
        <v>7.3885066162570876</v>
      </c>
      <c r="BG29" s="380">
        <f t="shared" ref="BG29" si="91">BF29/BF31*BG31</f>
        <v>8.1221172022684307</v>
      </c>
      <c r="BH29" s="380">
        <f t="shared" ref="BH29" si="92">BG29/BG31*BH31</f>
        <v>8.555614366729678</v>
      </c>
      <c r="BI29" s="380">
        <f t="shared" ref="BI29" si="93">BH29/BH31*BI31</f>
        <v>8.7937996219281658</v>
      </c>
      <c r="BJ29" s="380">
        <f t="shared" ref="BJ29" si="94">BI29/BI31*BJ31</f>
        <v>8.8271455576559532</v>
      </c>
      <c r="BK29" s="380">
        <f t="shared" ref="BK29" si="95">BJ29/BJ31*BK31</f>
        <v>9.5178827977315663</v>
      </c>
      <c r="BL29" s="380">
        <f t="shared" ref="BL29" si="96">BK29/BK31*BL31</f>
        <v>9.5369376181474443</v>
      </c>
      <c r="BM29" s="380">
        <f t="shared" ref="BM29" si="97">BL29/BL31*BM31</f>
        <v>10.456332703213606</v>
      </c>
      <c r="BN29" s="380">
        <f t="shared" ref="BN29:BR29" si="98">BM29/BM31*BN31</f>
        <v>10.913648393194704</v>
      </c>
      <c r="BO29" s="380">
        <f t="shared" si="98"/>
        <v>11.828279773156895</v>
      </c>
      <c r="BP29" s="380">
        <f t="shared" si="98"/>
        <v>12.409451795841205</v>
      </c>
      <c r="BQ29" s="380">
        <f t="shared" si="98"/>
        <v>13.433648393194701</v>
      </c>
      <c r="BR29" s="380">
        <f t="shared" si="98"/>
        <v>13.200226843100184</v>
      </c>
      <c r="BS29" s="380"/>
      <c r="BT29" s="380"/>
      <c r="BU29" s="380"/>
      <c r="BV29" s="380"/>
      <c r="BW29" s="7"/>
      <c r="BX29" s="7"/>
      <c r="BY29" s="7"/>
      <c r="BZ29" s="3"/>
      <c r="CA29" s="3"/>
      <c r="CB29" s="3"/>
      <c r="CC29" s="3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>
        <f t="shared" ref="DC29:DK30" si="99">AR29/AN29-1</f>
        <v>0.6986301369863015</v>
      </c>
      <c r="DD29" s="8">
        <f t="shared" si="99"/>
        <v>1.0120481927710845</v>
      </c>
      <c r="DE29" s="8">
        <f t="shared" si="99"/>
        <v>1.1122448979591835</v>
      </c>
      <c r="DF29" s="8" t="e">
        <f t="shared" si="99"/>
        <v>#DIV/0!</v>
      </c>
      <c r="DG29" s="8">
        <f t="shared" si="99"/>
        <v>1.5777791328739559</v>
      </c>
      <c r="DH29" s="8">
        <f t="shared" si="99"/>
        <v>1.299129529221331</v>
      </c>
      <c r="DI29" s="8">
        <f t="shared" si="99"/>
        <v>1.1033944275499303</v>
      </c>
      <c r="DJ29" s="8">
        <f t="shared" si="99"/>
        <v>0.82986767485822299</v>
      </c>
      <c r="DK29" s="8">
        <f t="shared" si="99"/>
        <v>0.54247391952310009</v>
      </c>
      <c r="DL29" s="8"/>
    </row>
    <row r="30" spans="1:116">
      <c r="B30" s="3" t="s">
        <v>2450</v>
      </c>
      <c r="C30" s="3"/>
      <c r="D30" s="3"/>
      <c r="E30" s="3"/>
      <c r="F30" s="3"/>
      <c r="G30" s="3"/>
      <c r="H30" s="3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>
        <f>AJ29*AVERAGE(AI4,AJ4)*3/1000</f>
        <v>20.00553</v>
      </c>
      <c r="AK30" s="7">
        <f>AK29*AVERAGE(AJ4,AK4)*3/1000</f>
        <v>20.33982</v>
      </c>
      <c r="AL30" s="7">
        <f>AL29*AVERAGE(AK4,AL4)*3/1000</f>
        <v>21.088079999999998</v>
      </c>
      <c r="AM30" s="7"/>
      <c r="AN30" s="7">
        <f>AN29*AVERAGE(AM4,AN4)*3/1000</f>
        <v>21.454335</v>
      </c>
      <c r="AO30" s="7">
        <f>AO29*AVERAGE(AN4,AO4)*3/1000</f>
        <v>23.891549999999999</v>
      </c>
      <c r="AP30" s="7">
        <f>AP29*AVERAGE(AO4,AP4)*3/1000</f>
        <v>27.934409999999996</v>
      </c>
      <c r="AQ30" s="7"/>
      <c r="AR30" s="7">
        <f>AR29*AVERAGE(AQ4,AR4)*3/1000</f>
        <v>34.000800000000005</v>
      </c>
      <c r="AS30" s="7">
        <f>AS29*AVERAGE(AR4,AS4)*3/1000</f>
        <v>44.225774999999992</v>
      </c>
      <c r="AT30" s="7">
        <f>AT29*AVERAGE(AS4,AT4)*3/1000</f>
        <v>55.182059999999993</v>
      </c>
      <c r="AU30" s="7">
        <f>AU29*AVERAGE(AT4,AU4)*3/1000</f>
        <v>69.056819999999988</v>
      </c>
      <c r="AV30" s="7">
        <f t="shared" ref="AV30:BC30" si="100">AV29*AVERAGE(AU4,AV4)*3/1000</f>
        <v>89.200025557655962</v>
      </c>
      <c r="AW30" s="7">
        <f t="shared" si="100"/>
        <v>106.04059009451798</v>
      </c>
      <c r="AX30" s="7">
        <f t="shared" si="100"/>
        <v>119.77926805293005</v>
      </c>
      <c r="AY30" s="7">
        <f t="shared" si="100"/>
        <v>128.77192378071831</v>
      </c>
      <c r="AZ30" s="7">
        <f t="shared" si="100"/>
        <v>137.91412173913048</v>
      </c>
      <c r="BA30" s="7">
        <f t="shared" si="100"/>
        <v>142.47012930056712</v>
      </c>
      <c r="BB30" s="7">
        <f t="shared" si="100"/>
        <v>136.87955217391305</v>
      </c>
      <c r="BC30" s="7">
        <f t="shared" si="100"/>
        <v>165.08870608695651</v>
      </c>
      <c r="BD30" s="7">
        <f t="shared" ref="BD30" si="101">BD29*AVERAGE(BC4,BD4)*3/1000</f>
        <v>177.29641258979208</v>
      </c>
      <c r="BE30" s="7">
        <f t="shared" ref="BE30:BF30" si="102">BE29*AVERAGE(BD4,BE4)*3/1000</f>
        <v>200.34040015122875</v>
      </c>
      <c r="BF30" s="7">
        <f t="shared" si="102"/>
        <v>205.13080344045366</v>
      </c>
      <c r="BG30" s="7">
        <f t="shared" ref="BG30" si="103">BG29*AVERAGE(BF4,BG4)*3/1000</f>
        <v>229.84779470699431</v>
      </c>
      <c r="BH30" s="7">
        <f t="shared" ref="BH30" si="104">BH29*AVERAGE(BG4,BH4)*3/1000</f>
        <v>248.55770858223062</v>
      </c>
      <c r="BI30" s="7">
        <f t="shared" ref="BI30" si="105">BI29*AVERAGE(BH4,BI4)*3/1000</f>
        <v>260.5690765973535</v>
      </c>
      <c r="BJ30" s="7">
        <f t="shared" ref="BJ30" si="106">BJ29*AVERAGE(BI4,BJ4)*3/1000</f>
        <v>266.37677149338367</v>
      </c>
      <c r="BK30" s="7">
        <f t="shared" ref="BK30" si="107">BK29*AVERAGE(BJ4,BK4)*3/1000</f>
        <v>292.16093035916816</v>
      </c>
      <c r="BL30" s="7">
        <f t="shared" ref="BL30" si="108">BL29*AVERAGE(BK4,BL4)*3/1000</f>
        <v>292.51695062381845</v>
      </c>
      <c r="BM30" s="7">
        <f t="shared" ref="BM30" si="109">BM29*AVERAGE(BL4,BM4)*3/1000</f>
        <v>318.8031277882796</v>
      </c>
      <c r="BN30" s="7">
        <f t="shared" ref="BN30:BR30" si="110">BN29*AVERAGE(BM4,BN4)*3/1000</f>
        <v>337.18262393194698</v>
      </c>
      <c r="BO30" s="7">
        <f t="shared" si="110"/>
        <v>371.66820703213591</v>
      </c>
      <c r="BP30" s="7">
        <f t="shared" si="110"/>
        <v>390.78604650283535</v>
      </c>
      <c r="BQ30" s="7">
        <f t="shared" si="110"/>
        <v>425.65858298676727</v>
      </c>
      <c r="BR30" s="7">
        <f t="shared" si="110"/>
        <v>420.77703096408305</v>
      </c>
      <c r="BS30" s="7"/>
      <c r="BT30" s="7"/>
      <c r="BU30" s="7"/>
      <c r="BV30" s="7"/>
      <c r="BW30" s="7"/>
      <c r="BX30" s="7"/>
      <c r="BY30" s="7"/>
      <c r="BZ30" s="3"/>
      <c r="CA30" s="3"/>
      <c r="CB30" s="3"/>
      <c r="CC30" s="3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>
        <f t="shared" si="99"/>
        <v>0.58479859664725131</v>
      </c>
      <c r="DD30" s="8">
        <f t="shared" si="99"/>
        <v>0.85110530710648713</v>
      </c>
      <c r="DE30" s="8">
        <f t="shared" si="99"/>
        <v>0.97541526740675755</v>
      </c>
      <c r="DF30" s="8" t="e">
        <f t="shared" si="99"/>
        <v>#DIV/0!</v>
      </c>
      <c r="DG30" s="8">
        <f t="shared" si="99"/>
        <v>1.6234684347914152</v>
      </c>
      <c r="DH30" s="8">
        <f t="shared" si="99"/>
        <v>1.3977101609755396</v>
      </c>
      <c r="DI30" s="8">
        <f t="shared" si="99"/>
        <v>1.1706197277327099</v>
      </c>
      <c r="DJ30" s="8">
        <f t="shared" si="99"/>
        <v>0.86472420509253589</v>
      </c>
      <c r="DK30" s="8">
        <f t="shared" si="99"/>
        <v>0.54612199802551986</v>
      </c>
      <c r="DL30" s="8"/>
    </row>
    <row r="31" spans="1:116">
      <c r="B31" s="3" t="s">
        <v>1646</v>
      </c>
      <c r="C31" s="3"/>
      <c r="D31" s="3"/>
      <c r="E31" s="3"/>
      <c r="F31" s="3"/>
      <c r="G31" s="3"/>
      <c r="H31" s="3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380"/>
      <c r="AK31" s="380"/>
      <c r="AL31" s="7"/>
      <c r="AM31" s="7"/>
      <c r="AN31" s="380"/>
      <c r="AO31" s="380">
        <v>1.62</v>
      </c>
      <c r="AP31" s="380">
        <v>1.88</v>
      </c>
      <c r="AQ31" s="380">
        <v>2.42</v>
      </c>
      <c r="AR31" s="380">
        <v>2.56</v>
      </c>
      <c r="AS31" s="380">
        <v>3.36</v>
      </c>
      <c r="AT31" s="380">
        <v>4.25</v>
      </c>
      <c r="AU31" s="380">
        <v>5.29</v>
      </c>
      <c r="AV31" s="380">
        <v>6.71</v>
      </c>
      <c r="AW31" s="380">
        <v>8.06</v>
      </c>
      <c r="AX31" s="380">
        <v>9.14</v>
      </c>
      <c r="AY31" s="380">
        <v>9.68</v>
      </c>
      <c r="AZ31" s="380">
        <v>10.35</v>
      </c>
      <c r="BA31" s="380">
        <v>10.76</v>
      </c>
      <c r="BB31" s="380">
        <v>10.45</v>
      </c>
      <c r="BC31" s="380">
        <v>12.78</v>
      </c>
      <c r="BD31" s="380">
        <v>13.97</v>
      </c>
      <c r="BE31" s="380">
        <v>15.59</v>
      </c>
      <c r="BF31" s="380">
        <v>15.51</v>
      </c>
      <c r="BG31" s="404">
        <v>17.05</v>
      </c>
      <c r="BH31" s="404">
        <v>17.96</v>
      </c>
      <c r="BI31" s="404">
        <v>18.46</v>
      </c>
      <c r="BJ31" s="404">
        <v>18.53</v>
      </c>
      <c r="BK31" s="404">
        <v>19.98</v>
      </c>
      <c r="BL31" s="404">
        <v>20.02</v>
      </c>
      <c r="BM31" s="404">
        <v>21.95</v>
      </c>
      <c r="BN31" s="404">
        <v>22.91</v>
      </c>
      <c r="BO31" s="404">
        <v>24.83</v>
      </c>
      <c r="BP31" s="404">
        <v>26.05</v>
      </c>
      <c r="BQ31" s="404">
        <v>28.2</v>
      </c>
      <c r="BR31" s="404">
        <v>27.71</v>
      </c>
      <c r="BS31" s="404"/>
      <c r="BT31" s="404"/>
      <c r="BU31" s="404"/>
      <c r="BV31" s="404"/>
      <c r="BW31" s="7"/>
      <c r="BX31" s="7"/>
      <c r="BY31" s="7"/>
      <c r="BZ31" s="3"/>
      <c r="CA31" s="3"/>
      <c r="CB31" s="3"/>
      <c r="CC31" s="3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>
        <f t="shared" ref="DD31:DK31" si="111">AS31/AO31-1</f>
        <v>1.074074074074074</v>
      </c>
      <c r="DE31" s="8">
        <f t="shared" si="111"/>
        <v>1.2606382978723407</v>
      </c>
      <c r="DF31" s="8">
        <f t="shared" si="111"/>
        <v>1.1859504132231407</v>
      </c>
      <c r="DG31" s="8">
        <f t="shared" si="111"/>
        <v>1.62109375</v>
      </c>
      <c r="DH31" s="8">
        <f t="shared" si="111"/>
        <v>1.3988095238095242</v>
      </c>
      <c r="DI31" s="8">
        <f t="shared" si="111"/>
        <v>1.1505882352941179</v>
      </c>
      <c r="DJ31" s="8">
        <f t="shared" si="111"/>
        <v>0.82986767485822299</v>
      </c>
      <c r="DK31" s="8">
        <f t="shared" si="111"/>
        <v>0.54247391952309987</v>
      </c>
      <c r="DL31" s="8"/>
    </row>
    <row r="32" spans="1:116">
      <c r="B32" s="3" t="s">
        <v>2450</v>
      </c>
      <c r="C32" s="3"/>
      <c r="D32" s="3"/>
      <c r="E32" s="3"/>
      <c r="F32" s="3"/>
      <c r="G32" s="3"/>
      <c r="H32" s="3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380"/>
      <c r="AK32" s="380"/>
      <c r="AL32" s="7"/>
      <c r="AM32" s="7"/>
      <c r="AN32" s="380"/>
      <c r="AO32" s="380"/>
      <c r="AP32" s="380"/>
      <c r="AQ32" s="380"/>
      <c r="AR32" s="380"/>
      <c r="AS32" s="380"/>
      <c r="AT32" s="380"/>
      <c r="AU32" s="7">
        <f>AU31*AVERAGE(AT6,AU6)*3/1000</f>
        <v>64.916235</v>
      </c>
      <c r="AV32" s="7">
        <f t="shared" ref="AV32:BF32" si="112">AV31*AVERAGE(AU6,AV6)*3/1000</f>
        <v>85.019055000000009</v>
      </c>
      <c r="AW32" s="7">
        <f t="shared" si="112"/>
        <v>104.80820999999999</v>
      </c>
      <c r="AX32" s="7">
        <f t="shared" si="112"/>
        <v>121.67625</v>
      </c>
      <c r="AY32" s="7">
        <f t="shared" si="112"/>
        <v>132.59663999999998</v>
      </c>
      <c r="AZ32" s="7">
        <f t="shared" si="112"/>
        <v>145.06559999999999</v>
      </c>
      <c r="BA32" s="7">
        <f t="shared" si="112"/>
        <v>152.99106</v>
      </c>
      <c r="BB32" s="7">
        <f t="shared" si="112"/>
        <v>153.00367499999999</v>
      </c>
      <c r="BC32" s="7">
        <f t="shared" si="112"/>
        <v>195.64901999999998</v>
      </c>
      <c r="BD32" s="7">
        <f t="shared" si="112"/>
        <v>220.61424</v>
      </c>
      <c r="BE32" s="7">
        <f t="shared" si="112"/>
        <v>254.26510500000001</v>
      </c>
      <c r="BF32" s="7">
        <f t="shared" si="112"/>
        <v>264.70916999999997</v>
      </c>
      <c r="BG32" s="7">
        <f t="shared" ref="BG32" si="113">BG31*AVERAGE(BF6,BG6)*3/1000</f>
        <v>302.73127500000004</v>
      </c>
      <c r="BH32" s="7">
        <f t="shared" ref="BH32" si="114">BH31*AVERAGE(BG6,BH6)*3/1000</f>
        <v>330.12276000000003</v>
      </c>
      <c r="BI32" s="7">
        <f t="shared" ref="BI32" si="115">BI31*AVERAGE(BH6,BI6)*3/1000</f>
        <v>349.89083999999997</v>
      </c>
      <c r="BJ32" s="7">
        <f t="shared" ref="BJ32" si="116">BJ31*AVERAGE(BI6,BJ6)*3/1000</f>
        <v>359.63950499999999</v>
      </c>
      <c r="BK32" s="7">
        <f t="shared" ref="BK32" si="117">BK31*AVERAGE(BJ6,BK6)*3/1000</f>
        <v>392.60700000000003</v>
      </c>
      <c r="BL32" s="7">
        <f t="shared" ref="BL32" si="118">BL31*AVERAGE(BK6,BL6)*3/1000</f>
        <v>396.99660000000006</v>
      </c>
      <c r="BM32" s="7">
        <f t="shared" ref="BM32" si="119">BM31*AVERAGE(BL6,BM6)*3/1000</f>
        <v>442.18275</v>
      </c>
      <c r="BN32" s="7">
        <f t="shared" ref="BN32:BR32" si="120">BN31*AVERAGE(BM6,BN6)*3/1000</f>
        <v>471.35033999999996</v>
      </c>
      <c r="BO32" s="7">
        <f t="shared" si="120"/>
        <v>521.50449000000003</v>
      </c>
      <c r="BP32" s="7">
        <f t="shared" si="120"/>
        <v>552.98940000000005</v>
      </c>
      <c r="BQ32" s="7">
        <f t="shared" si="120"/>
        <v>603.24030000000005</v>
      </c>
      <c r="BR32" s="7">
        <f t="shared" si="120"/>
        <v>601.570245</v>
      </c>
      <c r="BS32" s="7"/>
      <c r="BT32" s="7"/>
      <c r="BU32" s="7"/>
      <c r="BV32" s="7"/>
      <c r="BW32" s="7"/>
      <c r="BX32" s="7"/>
      <c r="BY32" s="7"/>
      <c r="BZ32" s="3"/>
      <c r="CA32" s="3"/>
      <c r="CB32" s="3"/>
      <c r="CC32" s="3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</row>
    <row r="33" spans="2:116">
      <c r="B33" s="3"/>
      <c r="C33" s="3"/>
      <c r="D33" s="3"/>
      <c r="E33" s="3"/>
      <c r="F33" s="3"/>
      <c r="G33" s="3"/>
      <c r="H33" s="3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5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3"/>
      <c r="CA33" s="3"/>
      <c r="CB33" s="3"/>
      <c r="CC33" s="3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</row>
    <row r="34" spans="2:116">
      <c r="B34" s="95" t="s">
        <v>698</v>
      </c>
      <c r="C34" s="3"/>
      <c r="D34" s="3"/>
      <c r="E34" s="3"/>
      <c r="F34" s="3"/>
      <c r="G34" s="3"/>
      <c r="H34" s="3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3"/>
      <c r="CA34" s="3"/>
      <c r="CB34" s="3"/>
      <c r="CC34" s="3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</row>
    <row r="35" spans="2:116">
      <c r="B35" s="3" t="s">
        <v>699</v>
      </c>
      <c r="C35" s="3">
        <v>136</v>
      </c>
      <c r="D35" s="3">
        <v>136</v>
      </c>
      <c r="E35" s="3">
        <v>144</v>
      </c>
      <c r="F35" s="3">
        <v>159</v>
      </c>
      <c r="G35" s="3">
        <v>159</v>
      </c>
      <c r="H35" s="3">
        <v>158</v>
      </c>
      <c r="I35" s="3">
        <v>167</v>
      </c>
      <c r="J35" s="3">
        <v>174</v>
      </c>
      <c r="K35" s="3">
        <v>170</v>
      </c>
      <c r="L35" s="3">
        <v>171</v>
      </c>
      <c r="M35" s="3">
        <v>178</v>
      </c>
      <c r="N35" s="3">
        <v>189</v>
      </c>
      <c r="O35" s="3">
        <v>192</v>
      </c>
      <c r="P35" s="3">
        <v>187</v>
      </c>
      <c r="Q35" s="3">
        <v>199</v>
      </c>
      <c r="R35" s="3">
        <v>203</v>
      </c>
      <c r="S35" s="3">
        <v>194</v>
      </c>
      <c r="T35" s="3">
        <v>192</v>
      </c>
      <c r="U35" s="3">
        <v>192</v>
      </c>
      <c r="V35" s="3">
        <v>199</v>
      </c>
      <c r="W35" s="3">
        <v>191</v>
      </c>
      <c r="X35" s="3">
        <v>192</v>
      </c>
      <c r="Y35" s="3">
        <v>195</v>
      </c>
      <c r="Z35" s="3">
        <v>204</v>
      </c>
      <c r="AA35" s="3">
        <v>193</v>
      </c>
      <c r="AB35" s="3">
        <v>197</v>
      </c>
      <c r="AC35" s="3">
        <v>193</v>
      </c>
      <c r="AD35" s="3">
        <v>199</v>
      </c>
      <c r="AE35" s="3">
        <v>187</v>
      </c>
      <c r="AF35" s="3">
        <v>187</v>
      </c>
      <c r="AG35" s="3">
        <v>188</v>
      </c>
      <c r="AH35" s="3">
        <v>195</v>
      </c>
      <c r="AI35" s="3">
        <v>188</v>
      </c>
      <c r="AJ35" s="3">
        <v>186</v>
      </c>
      <c r="AK35" s="3">
        <v>199</v>
      </c>
      <c r="AL35" s="3">
        <v>213</v>
      </c>
      <c r="AM35" s="3">
        <v>203</v>
      </c>
      <c r="AN35" s="3">
        <v>207</v>
      </c>
      <c r="AO35" s="3">
        <v>209</v>
      </c>
      <c r="AP35" s="3">
        <v>219</v>
      </c>
      <c r="AQ35" s="3">
        <v>204</v>
      </c>
      <c r="AR35" s="3">
        <v>217</v>
      </c>
      <c r="AS35" s="3">
        <v>227</v>
      </c>
      <c r="AT35" s="3">
        <v>234</v>
      </c>
      <c r="AU35" s="3">
        <v>233</v>
      </c>
      <c r="AV35" s="3">
        <v>236</v>
      </c>
      <c r="AW35" s="3">
        <v>240</v>
      </c>
      <c r="AX35" s="3">
        <v>264</v>
      </c>
      <c r="AY35" s="3">
        <v>249</v>
      </c>
      <c r="AZ35" s="3">
        <v>256</v>
      </c>
      <c r="BA35" s="3">
        <v>258</v>
      </c>
      <c r="BB35" s="3">
        <v>279</v>
      </c>
      <c r="BC35" s="3">
        <v>289</v>
      </c>
      <c r="BD35" s="3">
        <v>354</v>
      </c>
      <c r="BE35" s="3">
        <v>376</v>
      </c>
      <c r="BF35" s="3">
        <v>353</v>
      </c>
      <c r="BG35" s="161">
        <v>353</v>
      </c>
      <c r="BH35" s="161">
        <v>353</v>
      </c>
      <c r="BI35" s="161">
        <v>353</v>
      </c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8">
        <f t="shared" ref="BZ35:CI36" si="121">O35/K35-1</f>
        <v>0.12941176470588234</v>
      </c>
      <c r="CA35" s="8">
        <f t="shared" si="121"/>
        <v>9.3567251461988299E-2</v>
      </c>
      <c r="CB35" s="8">
        <f t="shared" si="121"/>
        <v>0.1179775280898876</v>
      </c>
      <c r="CC35" s="8">
        <f t="shared" si="121"/>
        <v>7.4074074074074181E-2</v>
      </c>
      <c r="CD35" s="8">
        <f t="shared" si="121"/>
        <v>1.0416666666666741E-2</v>
      </c>
      <c r="CE35" s="8">
        <f t="shared" si="121"/>
        <v>2.673796791443861E-2</v>
      </c>
      <c r="CF35" s="8">
        <f t="shared" si="121"/>
        <v>-3.5175879396984966E-2</v>
      </c>
      <c r="CG35" s="8">
        <f t="shared" si="121"/>
        <v>-1.9704433497536922E-2</v>
      </c>
      <c r="CH35" s="8">
        <f t="shared" si="121"/>
        <v>-1.5463917525773141E-2</v>
      </c>
      <c r="CI35" s="8">
        <f t="shared" si="121"/>
        <v>0</v>
      </c>
      <c r="CJ35" s="8">
        <f t="shared" ref="CJ35:CS36" si="122">Y35/U35-1</f>
        <v>1.5625E-2</v>
      </c>
      <c r="CK35" s="8">
        <f t="shared" si="122"/>
        <v>2.5125628140703515E-2</v>
      </c>
      <c r="CL35" s="8">
        <f t="shared" si="122"/>
        <v>1.0471204188481575E-2</v>
      </c>
      <c r="CM35" s="8">
        <f t="shared" si="122"/>
        <v>2.6041666666666741E-2</v>
      </c>
      <c r="CN35" s="8">
        <f t="shared" si="122"/>
        <v>-1.025641025641022E-2</v>
      </c>
      <c r="CO35" s="8">
        <f t="shared" si="122"/>
        <v>-2.4509803921568651E-2</v>
      </c>
      <c r="CP35" s="8">
        <f t="shared" si="122"/>
        <v>-3.1088082901554404E-2</v>
      </c>
      <c r="CQ35" s="8">
        <f t="shared" si="122"/>
        <v>-5.0761421319796995E-2</v>
      </c>
      <c r="CR35" s="8">
        <f t="shared" si="122"/>
        <v>-2.5906735751295318E-2</v>
      </c>
      <c r="CS35" s="8">
        <f t="shared" si="122"/>
        <v>-2.010050251256279E-2</v>
      </c>
      <c r="CT35" s="8">
        <f t="shared" ref="CT35:DC36" si="123">AI35/AE35-1</f>
        <v>5.3475935828877219E-3</v>
      </c>
      <c r="CU35" s="8">
        <f t="shared" si="123"/>
        <v>-5.3475935828877219E-3</v>
      </c>
      <c r="CV35" s="8">
        <f t="shared" si="123"/>
        <v>5.8510638297872397E-2</v>
      </c>
      <c r="CW35" s="8">
        <f t="shared" si="123"/>
        <v>9.2307692307692202E-2</v>
      </c>
      <c r="CX35" s="8">
        <f t="shared" si="123"/>
        <v>7.9787234042553168E-2</v>
      </c>
      <c r="CY35" s="8">
        <f t="shared" si="123"/>
        <v>0.11290322580645151</v>
      </c>
      <c r="CZ35" s="8">
        <f t="shared" si="123"/>
        <v>5.0251256281407031E-2</v>
      </c>
      <c r="DA35" s="8">
        <f t="shared" si="123"/>
        <v>2.8169014084507005E-2</v>
      </c>
      <c r="DB35" s="8">
        <f t="shared" si="123"/>
        <v>4.9261083743843415E-3</v>
      </c>
      <c r="DC35" s="8">
        <f t="shared" si="123"/>
        <v>4.8309178743961345E-2</v>
      </c>
      <c r="DD35" s="8">
        <f t="shared" ref="DD35:DK36" si="124">AS35/AO35-1</f>
        <v>8.6124401913875603E-2</v>
      </c>
      <c r="DE35" s="8">
        <f t="shared" si="124"/>
        <v>6.8493150684931559E-2</v>
      </c>
      <c r="DF35" s="8">
        <f t="shared" si="124"/>
        <v>0.14215686274509798</v>
      </c>
      <c r="DG35" s="8">
        <f t="shared" si="124"/>
        <v>8.7557603686635899E-2</v>
      </c>
      <c r="DH35" s="8">
        <f t="shared" si="124"/>
        <v>5.7268722466960353E-2</v>
      </c>
      <c r="DI35" s="8">
        <f t="shared" si="124"/>
        <v>0.12820512820512819</v>
      </c>
      <c r="DJ35" s="8">
        <f t="shared" si="124"/>
        <v>6.8669527896995763E-2</v>
      </c>
      <c r="DK35" s="8">
        <f t="shared" si="124"/>
        <v>8.4745762711864403E-2</v>
      </c>
      <c r="DL35" s="8"/>
    </row>
    <row r="36" spans="2:116">
      <c r="B36" s="3" t="s">
        <v>604</v>
      </c>
      <c r="C36" s="3"/>
      <c r="D36" s="3"/>
      <c r="E36" s="3"/>
      <c r="F36" s="3"/>
      <c r="G36" s="3"/>
      <c r="H36" s="3"/>
      <c r="I36" s="7">
        <f t="shared" ref="I36:BB36" si="125">I35*AVERAGE(H4,I4)*3/1000</f>
        <v>2924.0864999999999</v>
      </c>
      <c r="J36" s="7">
        <f t="shared" si="125"/>
        <v>3093.3719999999998</v>
      </c>
      <c r="K36" s="7">
        <f t="shared" si="125"/>
        <v>3044.7</v>
      </c>
      <c r="L36" s="7">
        <f t="shared" si="125"/>
        <v>3050.2979999999998</v>
      </c>
      <c r="M36" s="7">
        <f t="shared" si="125"/>
        <v>3225.0929999999998</v>
      </c>
      <c r="N36" s="7">
        <f t="shared" si="125"/>
        <v>3567.2804999999998</v>
      </c>
      <c r="O36" s="7">
        <f t="shared" si="125"/>
        <v>3758.1120000000001</v>
      </c>
      <c r="P36" s="7">
        <f t="shared" si="125"/>
        <v>3751.9679999999998</v>
      </c>
      <c r="Q36" s="7">
        <f t="shared" si="125"/>
        <v>4100.7929999999997</v>
      </c>
      <c r="R36" s="7">
        <f t="shared" si="125"/>
        <v>4421.9489999999996</v>
      </c>
      <c r="S36" s="7">
        <f t="shared" si="125"/>
        <v>4481.1090000000004</v>
      </c>
      <c r="T36" s="7">
        <f t="shared" si="125"/>
        <v>4636.5119999999997</v>
      </c>
      <c r="U36" s="7">
        <f t="shared" si="125"/>
        <v>4849.0559999999996</v>
      </c>
      <c r="V36" s="7">
        <f t="shared" si="125"/>
        <v>5298.9719999999998</v>
      </c>
      <c r="W36" s="7">
        <f t="shared" si="125"/>
        <v>5423.7314999999999</v>
      </c>
      <c r="X36" s="7">
        <f t="shared" si="125"/>
        <v>5634.1440000000002</v>
      </c>
      <c r="Y36" s="7">
        <f t="shared" si="125"/>
        <v>5763.7124999999996</v>
      </c>
      <c r="Z36" s="7">
        <f t="shared" si="125"/>
        <v>6118.7759999999998</v>
      </c>
      <c r="AA36" s="7">
        <f t="shared" si="125"/>
        <v>5859.1904999999997</v>
      </c>
      <c r="AB36" s="7">
        <f t="shared" si="125"/>
        <v>5990.9669999999996</v>
      </c>
      <c r="AC36" s="7">
        <f t="shared" si="125"/>
        <v>5902.9049999999997</v>
      </c>
      <c r="AD36" s="7">
        <f t="shared" si="125"/>
        <v>6172.3829999999998</v>
      </c>
      <c r="AE36" s="7">
        <f t="shared" si="125"/>
        <v>5797.3739999999998</v>
      </c>
      <c r="AF36" s="7">
        <f t="shared" si="125"/>
        <v>5723.8829999999998</v>
      </c>
      <c r="AG36" s="7">
        <f t="shared" si="125"/>
        <v>5718.3959999999997</v>
      </c>
      <c r="AH36" s="7">
        <f t="shared" si="125"/>
        <v>5912.5950000000003</v>
      </c>
      <c r="AI36" s="7">
        <f t="shared" si="125"/>
        <v>5671.5839999999998</v>
      </c>
      <c r="AJ36" s="7">
        <f t="shared" si="125"/>
        <v>5553.7740000000003</v>
      </c>
      <c r="AK36" s="7">
        <f t="shared" si="125"/>
        <v>5866.1220000000003</v>
      </c>
      <c r="AL36" s="7">
        <f t="shared" si="125"/>
        <v>6238.5569999999998</v>
      </c>
      <c r="AM36" s="7">
        <f t="shared" si="125"/>
        <v>5987.3834999999999</v>
      </c>
      <c r="AN36" s="7">
        <f t="shared" si="125"/>
        <v>6083.6265000000003</v>
      </c>
      <c r="AO36" s="7">
        <f t="shared" si="125"/>
        <v>6016.0649999999996</v>
      </c>
      <c r="AP36" s="7">
        <f t="shared" si="125"/>
        <v>6242.4854999999998</v>
      </c>
      <c r="AQ36" s="7">
        <f t="shared" si="125"/>
        <v>5787.6840000000002</v>
      </c>
      <c r="AR36" s="7">
        <f t="shared" si="125"/>
        <v>5950.14</v>
      </c>
      <c r="AS36" s="7">
        <f t="shared" si="125"/>
        <v>6011.5275000000001</v>
      </c>
      <c r="AT36" s="7">
        <f t="shared" si="125"/>
        <v>6237.9719999999998</v>
      </c>
      <c r="AU36" s="7">
        <f t="shared" si="125"/>
        <v>6385.0155000000004</v>
      </c>
      <c r="AV36" s="7">
        <f t="shared" si="125"/>
        <v>6585.8159999999998</v>
      </c>
      <c r="AW36" s="7">
        <f t="shared" si="125"/>
        <v>6628.32</v>
      </c>
      <c r="AX36" s="7">
        <f t="shared" si="125"/>
        <v>7262.64</v>
      </c>
      <c r="AY36" s="7">
        <f t="shared" si="125"/>
        <v>6953.4494999999997</v>
      </c>
      <c r="AZ36" s="7">
        <f t="shared" si="125"/>
        <v>7160.8320000000003</v>
      </c>
      <c r="BA36" s="7">
        <f t="shared" si="125"/>
        <v>7171.11</v>
      </c>
      <c r="BB36" s="7">
        <f t="shared" si="125"/>
        <v>7671.5235000000002</v>
      </c>
      <c r="BC36" s="7">
        <f t="shared" ref="BC36" si="126">BC35*AVERAGE(BB4,BC4)*3/1000</f>
        <v>7836.8130000000001</v>
      </c>
      <c r="BD36" s="7">
        <f t="shared" ref="BD36" si="127">BD35*AVERAGE(BC4,BD4)*3/1000</f>
        <v>9431.0910000000003</v>
      </c>
      <c r="BE36" s="7">
        <f t="shared" ref="BE36:BF36" si="128">BE35*AVERAGE(BD4,BE4)*3/1000</f>
        <v>10142.976000000001</v>
      </c>
      <c r="BF36" s="7">
        <f t="shared" si="128"/>
        <v>9800.5154999999995</v>
      </c>
      <c r="BG36" s="7">
        <f t="shared" ref="BG36" si="129">BG35*AVERAGE(BF4,BG4)*3/1000</f>
        <v>9989.5470000000005</v>
      </c>
      <c r="BH36" s="7">
        <f t="shared" ref="BH36" si="130">BH35*AVERAGE(BG4,BH4)*3/1000</f>
        <v>10255.356</v>
      </c>
      <c r="BI36" s="7">
        <f t="shared" ref="BI36" si="131">BI35*AVERAGE(BH4,BI4)*3/1000</f>
        <v>10459.743</v>
      </c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8">
        <f t="shared" si="121"/>
        <v>0.23431274017144554</v>
      </c>
      <c r="CA36" s="8">
        <f t="shared" si="121"/>
        <v>0.23003326232387789</v>
      </c>
      <c r="CB36" s="8">
        <f t="shared" si="121"/>
        <v>0.27152705363845309</v>
      </c>
      <c r="CC36" s="8">
        <f t="shared" si="121"/>
        <v>0.23958544891549738</v>
      </c>
      <c r="CD36" s="8">
        <f t="shared" si="121"/>
        <v>0.19238303701433068</v>
      </c>
      <c r="CE36" s="8">
        <f t="shared" si="121"/>
        <v>0.23575467594606359</v>
      </c>
      <c r="CF36" s="8">
        <f t="shared" si="121"/>
        <v>0.18246787877369086</v>
      </c>
      <c r="CG36" s="8">
        <f t="shared" si="121"/>
        <v>0.1983340377738414</v>
      </c>
      <c r="CH36" s="8">
        <f t="shared" si="121"/>
        <v>0.21035473584775533</v>
      </c>
      <c r="CI36" s="8">
        <f t="shared" si="121"/>
        <v>0.21516864401515634</v>
      </c>
      <c r="CJ36" s="8">
        <f t="shared" si="122"/>
        <v>0.1886256830195403</v>
      </c>
      <c r="CK36" s="8">
        <f t="shared" si="122"/>
        <v>0.15471000790341982</v>
      </c>
      <c r="CL36" s="8">
        <f t="shared" si="122"/>
        <v>8.0287713357491963E-2</v>
      </c>
      <c r="CM36" s="8">
        <f t="shared" si="122"/>
        <v>6.3332247099115557E-2</v>
      </c>
      <c r="CN36" s="8">
        <f t="shared" si="122"/>
        <v>2.4149799283014195E-2</v>
      </c>
      <c r="CO36" s="8">
        <f t="shared" si="122"/>
        <v>8.76106593867787E-3</v>
      </c>
      <c r="CP36" s="8">
        <f t="shared" si="122"/>
        <v>-1.0550348209364402E-2</v>
      </c>
      <c r="CQ36" s="8">
        <f t="shared" si="122"/>
        <v>-4.4581116871449944E-2</v>
      </c>
      <c r="CR36" s="8">
        <f t="shared" si="122"/>
        <v>-3.1257321606903754E-2</v>
      </c>
      <c r="CS36" s="8">
        <f t="shared" si="122"/>
        <v>-4.2088768632795426E-2</v>
      </c>
      <c r="CT36" s="8">
        <f t="shared" si="123"/>
        <v>-2.1697754880054321E-2</v>
      </c>
      <c r="CU36" s="8">
        <f t="shared" si="123"/>
        <v>-2.9719160926245269E-2</v>
      </c>
      <c r="CV36" s="8">
        <f t="shared" si="123"/>
        <v>2.5833467986477343E-2</v>
      </c>
      <c r="CW36" s="8">
        <f t="shared" si="123"/>
        <v>5.5130107846047105E-2</v>
      </c>
      <c r="CX36" s="8">
        <f t="shared" si="123"/>
        <v>5.5681005518035231E-2</v>
      </c>
      <c r="CY36" s="8">
        <f t="shared" si="123"/>
        <v>9.540404416888415E-2</v>
      </c>
      <c r="CZ36" s="8">
        <f t="shared" si="123"/>
        <v>2.5560839000620783E-2</v>
      </c>
      <c r="DA36" s="8">
        <f t="shared" si="123"/>
        <v>6.2971292880709129E-4</v>
      </c>
      <c r="DB36" s="8">
        <f t="shared" si="123"/>
        <v>-3.3353383827843919E-2</v>
      </c>
      <c r="DC36" s="8">
        <f t="shared" si="123"/>
        <v>-2.1941928880742423E-2</v>
      </c>
      <c r="DD36" s="8">
        <f t="shared" si="124"/>
        <v>-7.5423054770840103E-4</v>
      </c>
      <c r="DE36" s="8">
        <f t="shared" si="124"/>
        <v>-7.2302931260315173E-4</v>
      </c>
      <c r="DF36" s="8">
        <f t="shared" si="124"/>
        <v>0.10320734511421148</v>
      </c>
      <c r="DG36" s="8">
        <f t="shared" si="124"/>
        <v>0.10683378878480165</v>
      </c>
      <c r="DH36" s="8">
        <f t="shared" si="124"/>
        <v>0.10260162662484684</v>
      </c>
      <c r="DI36" s="8">
        <f t="shared" si="124"/>
        <v>0.16426300085989487</v>
      </c>
      <c r="DJ36" s="8">
        <f t="shared" si="124"/>
        <v>8.9026252168064257E-2</v>
      </c>
      <c r="DK36" s="8">
        <f t="shared" si="124"/>
        <v>8.7311276233651203E-2</v>
      </c>
      <c r="DL36" s="8"/>
    </row>
    <row r="37" spans="2:116">
      <c r="B37" s="3" t="s">
        <v>388</v>
      </c>
      <c r="C37" s="3"/>
      <c r="D37" s="3"/>
      <c r="E37" s="3"/>
      <c r="F37" s="3"/>
      <c r="G37" s="3"/>
      <c r="H37" s="3"/>
      <c r="I37" s="11">
        <f t="shared" ref="I37:AE37" si="132">I22/I36</f>
        <v>54.066098933803779</v>
      </c>
      <c r="J37" s="11">
        <f t="shared" si="132"/>
        <v>56.816897547401346</v>
      </c>
      <c r="K37" s="11">
        <f t="shared" si="132"/>
        <v>51.072026800670017</v>
      </c>
      <c r="L37" s="11">
        <f t="shared" si="132"/>
        <v>45.40041661503237</v>
      </c>
      <c r="M37" s="11">
        <f t="shared" si="132"/>
        <v>43.83910789549325</v>
      </c>
      <c r="N37" s="11">
        <f t="shared" si="132"/>
        <v>41.732154227849477</v>
      </c>
      <c r="O37" s="11">
        <f t="shared" si="132"/>
        <v>39.894287344283512</v>
      </c>
      <c r="P37" s="11">
        <f t="shared" si="132"/>
        <v>41.498754786821209</v>
      </c>
      <c r="Q37" s="11">
        <f t="shared" si="132"/>
        <v>37.84214419016029</v>
      </c>
      <c r="R37" s="11">
        <f t="shared" si="132"/>
        <v>38.698252738781029</v>
      </c>
      <c r="S37" s="11">
        <f t="shared" si="132"/>
        <v>37.594722645666501</v>
      </c>
      <c r="T37" s="11">
        <f t="shared" si="132"/>
        <v>36.31573691602653</v>
      </c>
      <c r="U37" s="11">
        <f t="shared" si="132"/>
        <v>35.635492763952406</v>
      </c>
      <c r="V37" s="11">
        <f t="shared" si="132"/>
        <v>35.144137391177004</v>
      </c>
      <c r="W37" s="11">
        <f t="shared" si="132"/>
        <v>35.875153480588047</v>
      </c>
      <c r="X37" s="11">
        <f t="shared" si="132"/>
        <v>34.280300609995059</v>
      </c>
      <c r="Y37" s="11">
        <f t="shared" si="132"/>
        <v>33.818133711561778</v>
      </c>
      <c r="Z37" s="11">
        <f t="shared" si="132"/>
        <v>34.413549376541972</v>
      </c>
      <c r="AA37" s="11">
        <f t="shared" si="132"/>
        <v>35.439793261543556</v>
      </c>
      <c r="AB37" s="11">
        <f t="shared" si="132"/>
        <v>35.020573473364145</v>
      </c>
      <c r="AC37" s="11">
        <f t="shared" si="132"/>
        <v>35.836761730029536</v>
      </c>
      <c r="AD37" s="11">
        <f t="shared" si="132"/>
        <v>35.858840904720267</v>
      </c>
      <c r="AE37" s="11">
        <f t="shared" si="132"/>
        <v>33.081564170260542</v>
      </c>
      <c r="AF37" s="11">
        <f t="shared" ref="AF37:AM37" si="133">AF22/AF36</f>
        <v>30.738870798022955</v>
      </c>
      <c r="AG37" s="11">
        <f t="shared" si="133"/>
        <v>29.831809479441439</v>
      </c>
      <c r="AH37" s="11">
        <f t="shared" si="133"/>
        <v>31.558008793093382</v>
      </c>
      <c r="AI37" s="11">
        <f t="shared" si="133"/>
        <v>27.946856469021711</v>
      </c>
      <c r="AJ37" s="11">
        <f t="shared" si="133"/>
        <v>26.844671209163351</v>
      </c>
      <c r="AK37" s="11">
        <f t="shared" si="133"/>
        <v>23.4761796634983</v>
      </c>
      <c r="AL37" s="11">
        <f t="shared" si="133"/>
        <v>25.583689465368355</v>
      </c>
      <c r="AM37" s="11">
        <f t="shared" si="133"/>
        <v>16.496133578214927</v>
      </c>
      <c r="AN37" s="11">
        <f t="shared" ref="AN37:AO37" si="134">AN22/AN36</f>
        <v>14.32333485627364</v>
      </c>
      <c r="AO37" s="11">
        <f t="shared" si="134"/>
        <v>13.210226285786472</v>
      </c>
      <c r="AP37" s="11">
        <f t="shared" ref="AP37:AQ37" si="135">AP22/AP36</f>
        <v>13.022382430844251</v>
      </c>
      <c r="AQ37" s="11">
        <f t="shared" si="135"/>
        <v>17.650474006528341</v>
      </c>
      <c r="AR37" s="11">
        <f t="shared" ref="AR37:AU37" si="136">AR22/AR36</f>
        <v>17.907669399375479</v>
      </c>
      <c r="AS37" s="11">
        <f t="shared" si="136"/>
        <v>16.121431283479946</v>
      </c>
      <c r="AT37" s="11">
        <f t="shared" si="136"/>
        <v>17.592105575337623</v>
      </c>
      <c r="AU37" s="11">
        <f t="shared" si="136"/>
        <v>14.805814723550787</v>
      </c>
      <c r="AV37" s="11">
        <f t="shared" ref="AV37:AW37" si="137">AV22/AV36</f>
        <v>38.834745762711862</v>
      </c>
      <c r="AW37" s="11">
        <f t="shared" si="137"/>
        <v>37.12916666666667</v>
      </c>
      <c r="AX37" s="11">
        <f t="shared" ref="AX37:AY37" si="138">AX22/AX36</f>
        <v>35.912878787878789</v>
      </c>
      <c r="AY37" s="11">
        <f t="shared" si="138"/>
        <v>28.309236947791167</v>
      </c>
      <c r="AZ37" s="11">
        <f t="shared" ref="AZ37:BA37" si="139">AZ22/AZ36</f>
        <v>26.43359375</v>
      </c>
      <c r="BA37" s="11">
        <f t="shared" si="139"/>
        <v>26.717054263565892</v>
      </c>
      <c r="BB37" s="11">
        <f t="shared" ref="BB37:BE37" si="140">BB22/BB36</f>
        <v>24.928315412186379</v>
      </c>
      <c r="BC37" s="11">
        <f t="shared" si="140"/>
        <v>25.391003460207614</v>
      </c>
      <c r="BD37" s="11">
        <f t="shared" si="140"/>
        <v>20.248587570621467</v>
      </c>
      <c r="BE37" s="11">
        <f t="shared" si="140"/>
        <v>19.579787234042552</v>
      </c>
      <c r="BF37" s="11">
        <f t="shared" ref="BF37:BI37" si="141">BF22/BF36</f>
        <v>21.198300283286123</v>
      </c>
      <c r="BG37" s="11">
        <f t="shared" si="141"/>
        <v>20.94900849858357</v>
      </c>
      <c r="BH37" s="11">
        <f t="shared" si="141"/>
        <v>21.167138810198299</v>
      </c>
      <c r="BI37" s="11">
        <f t="shared" si="141"/>
        <v>20.77053824362606</v>
      </c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3"/>
      <c r="CA37" s="3"/>
      <c r="CB37" s="3"/>
      <c r="CC37" s="3"/>
      <c r="CD37" s="8">
        <f t="shared" ref="CD37:DK37" si="142">S37/O37-1</f>
        <v>-5.76414532429671E-2</v>
      </c>
      <c r="CE37" s="8">
        <f t="shared" si="142"/>
        <v>-0.12489574440051998</v>
      </c>
      <c r="CF37" s="8">
        <f t="shared" si="142"/>
        <v>-5.8312008302681129E-2</v>
      </c>
      <c r="CG37" s="8">
        <f t="shared" si="142"/>
        <v>-9.1841752432463397E-2</v>
      </c>
      <c r="CH37" s="8">
        <f t="shared" si="142"/>
        <v>-4.5739642270686276E-2</v>
      </c>
      <c r="CI37" s="8">
        <f t="shared" si="142"/>
        <v>-5.6048327223485628E-2</v>
      </c>
      <c r="CJ37" s="8">
        <f t="shared" si="142"/>
        <v>-5.0998566637725951E-2</v>
      </c>
      <c r="CK37" s="8">
        <f t="shared" si="142"/>
        <v>-2.0788332531913145E-2</v>
      </c>
      <c r="CL37" s="8">
        <f t="shared" si="142"/>
        <v>-1.2135424571216524E-2</v>
      </c>
      <c r="CM37" s="8">
        <f t="shared" si="142"/>
        <v>2.159470162736099E-2</v>
      </c>
      <c r="CN37" s="8">
        <f t="shared" si="142"/>
        <v>5.9690698359786465E-2</v>
      </c>
      <c r="CO37" s="8">
        <f t="shared" si="142"/>
        <v>4.1997746653923418E-2</v>
      </c>
      <c r="CP37" s="8">
        <f t="shared" si="142"/>
        <v>-6.6541841084665099E-2</v>
      </c>
      <c r="CQ37" s="8">
        <f t="shared" si="142"/>
        <v>-0.1222624946047145</v>
      </c>
      <c r="CR37" s="8">
        <f t="shared" si="142"/>
        <v>-0.16756403091957461</v>
      </c>
      <c r="CS37" s="8">
        <f t="shared" si="142"/>
        <v>-0.11993784525982121</v>
      </c>
      <c r="CT37" s="8">
        <f t="shared" si="142"/>
        <v>-0.15521357076140907</v>
      </c>
      <c r="CU37" s="8">
        <f t="shared" si="142"/>
        <v>-0.12668648807717653</v>
      </c>
      <c r="CV37" s="8">
        <f t="shared" si="142"/>
        <v>-0.21304875322172845</v>
      </c>
      <c r="CW37" s="8">
        <f t="shared" si="142"/>
        <v>-0.18931230315876379</v>
      </c>
      <c r="CX37" s="8">
        <f t="shared" si="142"/>
        <v>-0.40973205353165865</v>
      </c>
      <c r="CY37" s="8">
        <f t="shared" si="142"/>
        <v>-0.46643656967627856</v>
      </c>
      <c r="CZ37" s="8">
        <f t="shared" si="142"/>
        <v>-0.43729233311643723</v>
      </c>
      <c r="DA37" s="8">
        <f t="shared" si="142"/>
        <v>-0.49098887990834383</v>
      </c>
      <c r="DB37" s="8">
        <f t="shared" si="142"/>
        <v>6.9976423435238022E-2</v>
      </c>
      <c r="DC37" s="8">
        <f t="shared" si="142"/>
        <v>0.25024441438174549</v>
      </c>
      <c r="DD37" s="8">
        <f t="shared" si="142"/>
        <v>0.22037510446174435</v>
      </c>
      <c r="DE37" s="8">
        <f t="shared" si="142"/>
        <v>0.35091298913705082</v>
      </c>
      <c r="DF37" s="8">
        <f t="shared" si="142"/>
        <v>-0.16116616935757111</v>
      </c>
      <c r="DG37" s="8">
        <f t="shared" si="142"/>
        <v>1.1686097111032328</v>
      </c>
      <c r="DH37" s="8">
        <f t="shared" si="142"/>
        <v>1.3030936902428696</v>
      </c>
      <c r="DI37" s="8">
        <f t="shared" si="142"/>
        <v>1.041420149173335</v>
      </c>
      <c r="DJ37" s="8">
        <f t="shared" si="142"/>
        <v>0.91203506705789295</v>
      </c>
      <c r="DK37" s="8">
        <f t="shared" si="142"/>
        <v>-0.31933135570103655</v>
      </c>
      <c r="DL37" s="8"/>
    </row>
    <row r="38" spans="2:116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5"/>
      <c r="N38" s="5"/>
      <c r="O38" s="5"/>
      <c r="P38" s="5"/>
      <c r="Q38" s="5"/>
      <c r="R38" s="5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</row>
    <row r="39" spans="2:116">
      <c r="B39" s="95" t="s">
        <v>700</v>
      </c>
      <c r="C39" s="95"/>
      <c r="D39" s="95"/>
      <c r="E39" s="95"/>
      <c r="F39" s="95"/>
      <c r="G39" s="95"/>
      <c r="H39" s="95"/>
      <c r="I39" s="243">
        <f t="shared" ref="I39:Y39" si="143">(2800/(2800+2600)*I36)</f>
        <v>1516.1929999999998</v>
      </c>
      <c r="J39" s="243">
        <f t="shared" si="143"/>
        <v>1603.9706666666666</v>
      </c>
      <c r="K39" s="243">
        <f t="shared" si="143"/>
        <v>1578.7333333333331</v>
      </c>
      <c r="L39" s="243">
        <f t="shared" si="143"/>
        <v>1581.6359999999997</v>
      </c>
      <c r="M39" s="243">
        <f t="shared" si="143"/>
        <v>1672.2704444444444</v>
      </c>
      <c r="N39" s="243">
        <f t="shared" si="143"/>
        <v>1849.7009999999998</v>
      </c>
      <c r="O39" s="243">
        <f t="shared" si="143"/>
        <v>1948.6506666666667</v>
      </c>
      <c r="P39" s="243">
        <f t="shared" si="143"/>
        <v>1945.4648888888887</v>
      </c>
      <c r="Q39" s="243">
        <f t="shared" si="143"/>
        <v>2126.337111111111</v>
      </c>
      <c r="R39" s="243">
        <f t="shared" si="143"/>
        <v>2292.862444444444</v>
      </c>
      <c r="S39" s="243">
        <f t="shared" si="143"/>
        <v>2323.538</v>
      </c>
      <c r="T39" s="243">
        <f t="shared" si="143"/>
        <v>2404.1173333333331</v>
      </c>
      <c r="U39" s="243">
        <f t="shared" si="143"/>
        <v>2514.3253333333328</v>
      </c>
      <c r="V39" s="243">
        <f t="shared" si="143"/>
        <v>2747.6151111111108</v>
      </c>
      <c r="W39" s="243">
        <f t="shared" si="143"/>
        <v>2812.3052222222218</v>
      </c>
      <c r="X39" s="243">
        <f t="shared" si="143"/>
        <v>2921.4079999999999</v>
      </c>
      <c r="Y39" s="243">
        <f t="shared" si="143"/>
        <v>2988.5916666666662</v>
      </c>
      <c r="Z39" s="243">
        <f t="shared" ref="Z39:AE39" si="144">(2800/(2800+2600)*Z36)</f>
        <v>3172.6986666666662</v>
      </c>
      <c r="AA39" s="243">
        <f t="shared" si="144"/>
        <v>3038.0987777777773</v>
      </c>
      <c r="AB39" s="243">
        <f t="shared" si="144"/>
        <v>3106.4273333333331</v>
      </c>
      <c r="AC39" s="243">
        <f t="shared" si="144"/>
        <v>3060.7655555555552</v>
      </c>
      <c r="AD39" s="243">
        <f t="shared" si="144"/>
        <v>3200.4948888888885</v>
      </c>
      <c r="AE39" s="243">
        <f t="shared" si="144"/>
        <v>3006.0457777777774</v>
      </c>
      <c r="AF39" s="243">
        <f t="shared" ref="AF39:AL39" si="145">(2800/(2800+2600)*AF36)</f>
        <v>2967.9393333333333</v>
      </c>
      <c r="AG39" s="243">
        <f t="shared" si="145"/>
        <v>2965.094222222222</v>
      </c>
      <c r="AH39" s="243">
        <f t="shared" si="145"/>
        <v>3065.79</v>
      </c>
      <c r="AI39" s="243">
        <f t="shared" si="145"/>
        <v>2940.8213333333329</v>
      </c>
      <c r="AJ39" s="243">
        <f t="shared" si="145"/>
        <v>2879.7346666666667</v>
      </c>
      <c r="AK39" s="243">
        <f t="shared" si="145"/>
        <v>3041.6928888888888</v>
      </c>
      <c r="AL39" s="243">
        <f t="shared" si="145"/>
        <v>3234.8073333333332</v>
      </c>
      <c r="AM39" s="243">
        <f t="shared" ref="AM39:AN39" si="146">(2800/(2800+2600)*AM36)</f>
        <v>3104.5692222222219</v>
      </c>
      <c r="AN39" s="243">
        <f t="shared" si="146"/>
        <v>3154.473</v>
      </c>
      <c r="AO39" s="243">
        <f t="shared" ref="AO39:AP39" si="147">(2800/(2800+2600)*AO36)</f>
        <v>3119.4411111111108</v>
      </c>
      <c r="AP39" s="243">
        <f t="shared" si="147"/>
        <v>3236.844333333333</v>
      </c>
      <c r="AQ39" s="243">
        <f t="shared" ref="AQ39:AR39" si="148">(2800/(2800+2600)*AQ36)</f>
        <v>3001.0213333333331</v>
      </c>
      <c r="AR39" s="243">
        <f t="shared" si="148"/>
        <v>3085.2577777777778</v>
      </c>
      <c r="AS39" s="243">
        <f t="shared" ref="AS39:AT39" si="149">(2800/(2800+2600)*AS36)</f>
        <v>3117.0883333333331</v>
      </c>
      <c r="AT39" s="243">
        <f t="shared" si="149"/>
        <v>3234.5039999999999</v>
      </c>
      <c r="AU39" s="243">
        <f t="shared" ref="AU39:AV39" si="150">(2800/(2800+2600)*AU36)</f>
        <v>3310.7487777777778</v>
      </c>
      <c r="AV39" s="243">
        <f t="shared" si="150"/>
        <v>3414.8675555555551</v>
      </c>
      <c r="AW39" s="243">
        <f t="shared" ref="AW39:AX39" si="151">(2800/(2800+2600)*AW36)</f>
        <v>3436.9066666666663</v>
      </c>
      <c r="AX39" s="243">
        <f t="shared" si="151"/>
        <v>3765.8133333333335</v>
      </c>
      <c r="AY39" s="243">
        <f t="shared" ref="AY39:AZ39" si="152">(2800/(2800+2600)*AY36)</f>
        <v>3605.4923333333331</v>
      </c>
      <c r="AZ39" s="243">
        <f t="shared" si="152"/>
        <v>3713.0239999999999</v>
      </c>
      <c r="BA39" s="243">
        <f t="shared" ref="BA39:BB39" si="153">(2800/(2800+2600)*BA36)</f>
        <v>3718.353333333333</v>
      </c>
      <c r="BB39" s="243">
        <f t="shared" si="153"/>
        <v>3977.8269999999998</v>
      </c>
      <c r="BC39" s="243">
        <f t="shared" ref="BC39:BE39" si="154">(2800/(2800+2600)*BC36)</f>
        <v>4063.5326666666665</v>
      </c>
      <c r="BD39" s="243">
        <f t="shared" si="154"/>
        <v>4890.1953333333331</v>
      </c>
      <c r="BE39" s="243">
        <f t="shared" si="154"/>
        <v>5259.3208888888885</v>
      </c>
      <c r="BF39" s="243">
        <f t="shared" ref="BF39:BI39" si="155">(2800/(2800+2600)*BF36)</f>
        <v>5081.7487777777769</v>
      </c>
      <c r="BG39" s="243">
        <f t="shared" si="155"/>
        <v>5179.7651111111109</v>
      </c>
      <c r="BH39" s="243">
        <f t="shared" si="155"/>
        <v>5317.5919999999996</v>
      </c>
      <c r="BI39" s="243">
        <f t="shared" si="155"/>
        <v>5423.5704444444445</v>
      </c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</row>
    <row r="40" spans="2:116">
      <c r="B40" s="4" t="s">
        <v>702</v>
      </c>
      <c r="C40" s="3"/>
      <c r="D40" s="3"/>
      <c r="E40" s="3"/>
      <c r="F40" s="3"/>
      <c r="G40" s="3"/>
      <c r="H40" s="3"/>
      <c r="I40" s="7">
        <f t="shared" ref="I40:Y40" si="156">0.1*I39</f>
        <v>151.61929999999998</v>
      </c>
      <c r="J40" s="7">
        <f t="shared" si="156"/>
        <v>160.39706666666666</v>
      </c>
      <c r="K40" s="7">
        <f t="shared" si="156"/>
        <v>157.87333333333333</v>
      </c>
      <c r="L40" s="7">
        <f t="shared" si="156"/>
        <v>158.16359999999997</v>
      </c>
      <c r="M40" s="7">
        <f t="shared" si="156"/>
        <v>167.22704444444446</v>
      </c>
      <c r="N40" s="7">
        <f t="shared" si="156"/>
        <v>184.9701</v>
      </c>
      <c r="O40" s="7">
        <f t="shared" si="156"/>
        <v>194.86506666666668</v>
      </c>
      <c r="P40" s="7">
        <f t="shared" si="156"/>
        <v>194.54648888888889</v>
      </c>
      <c r="Q40" s="7">
        <f t="shared" si="156"/>
        <v>212.6337111111111</v>
      </c>
      <c r="R40" s="7">
        <f t="shared" si="156"/>
        <v>229.28624444444441</v>
      </c>
      <c r="S40" s="7">
        <f t="shared" si="156"/>
        <v>232.35380000000001</v>
      </c>
      <c r="T40" s="7">
        <f t="shared" si="156"/>
        <v>240.41173333333333</v>
      </c>
      <c r="U40" s="7">
        <f t="shared" si="156"/>
        <v>251.43253333333328</v>
      </c>
      <c r="V40" s="7">
        <f t="shared" si="156"/>
        <v>274.76151111111108</v>
      </c>
      <c r="W40" s="7">
        <f t="shared" si="156"/>
        <v>281.23052222222219</v>
      </c>
      <c r="X40" s="7">
        <f t="shared" si="156"/>
        <v>292.14080000000001</v>
      </c>
      <c r="Y40" s="7">
        <f t="shared" si="156"/>
        <v>298.85916666666662</v>
      </c>
      <c r="Z40" s="7">
        <f t="shared" ref="Z40:AE40" si="157">0.1*Z39</f>
        <v>317.26986666666664</v>
      </c>
      <c r="AA40" s="7">
        <f t="shared" si="157"/>
        <v>303.80987777777773</v>
      </c>
      <c r="AB40" s="7">
        <f t="shared" si="157"/>
        <v>310.64273333333335</v>
      </c>
      <c r="AC40" s="7">
        <f t="shared" si="157"/>
        <v>306.07655555555556</v>
      </c>
      <c r="AD40" s="7">
        <f t="shared" si="157"/>
        <v>320.04948888888885</v>
      </c>
      <c r="AE40" s="7">
        <f t="shared" si="157"/>
        <v>300.60457777777776</v>
      </c>
      <c r="AF40" s="7">
        <f t="shared" ref="AF40:AL40" si="158">0.1*AF39</f>
        <v>296.79393333333331</v>
      </c>
      <c r="AG40" s="7">
        <f t="shared" si="158"/>
        <v>296.50942222222221</v>
      </c>
      <c r="AH40" s="7">
        <f t="shared" si="158"/>
        <v>306.57900000000001</v>
      </c>
      <c r="AI40" s="7">
        <f t="shared" si="158"/>
        <v>294.08213333333327</v>
      </c>
      <c r="AJ40" s="7">
        <f t="shared" si="158"/>
        <v>287.9734666666667</v>
      </c>
      <c r="AK40" s="7">
        <f t="shared" si="158"/>
        <v>304.1692888888889</v>
      </c>
      <c r="AL40" s="7">
        <f t="shared" si="158"/>
        <v>323.48073333333332</v>
      </c>
      <c r="AM40" s="7">
        <f t="shared" ref="AM40:AN40" si="159">0.1*AM39</f>
        <v>310.4569222222222</v>
      </c>
      <c r="AN40" s="7">
        <f t="shared" si="159"/>
        <v>315.44730000000004</v>
      </c>
      <c r="AO40" s="7">
        <f t="shared" ref="AO40:AP40" si="160">0.1*AO39</f>
        <v>311.94411111111111</v>
      </c>
      <c r="AP40" s="7">
        <f t="shared" si="160"/>
        <v>323.68443333333335</v>
      </c>
      <c r="AQ40" s="7">
        <f t="shared" ref="AQ40:AR40" si="161">0.1*AQ39</f>
        <v>300.10213333333331</v>
      </c>
      <c r="AR40" s="7">
        <f t="shared" si="161"/>
        <v>308.52577777777782</v>
      </c>
      <c r="AS40" s="7">
        <f t="shared" ref="AS40:AT40" si="162">0.1*AS39</f>
        <v>311.70883333333336</v>
      </c>
      <c r="AT40" s="7">
        <f t="shared" si="162"/>
        <v>323.4504</v>
      </c>
      <c r="AU40" s="7">
        <f t="shared" ref="AU40:AV40" si="163">0.1*AU39</f>
        <v>331.07487777777783</v>
      </c>
      <c r="AV40" s="7">
        <f t="shared" si="163"/>
        <v>341.48675555555553</v>
      </c>
      <c r="AW40" s="7">
        <f t="shared" ref="AW40:AX40" si="164">0.1*AW39</f>
        <v>343.69066666666663</v>
      </c>
      <c r="AX40" s="7">
        <f t="shared" si="164"/>
        <v>376.58133333333336</v>
      </c>
      <c r="AY40" s="7">
        <f t="shared" ref="AY40:AZ40" si="165">0.1*AY39</f>
        <v>360.54923333333335</v>
      </c>
      <c r="AZ40" s="7">
        <f t="shared" si="165"/>
        <v>371.30240000000003</v>
      </c>
      <c r="BA40" s="7">
        <f t="shared" ref="BA40:BB40" si="166">0.1*BA39</f>
        <v>371.83533333333332</v>
      </c>
      <c r="BB40" s="7">
        <f t="shared" si="166"/>
        <v>397.78269999999998</v>
      </c>
      <c r="BC40" s="7">
        <f t="shared" ref="BC40:BE40" si="167">0.1*BC39</f>
        <v>406.35326666666668</v>
      </c>
      <c r="BD40" s="7">
        <f t="shared" si="167"/>
        <v>489.01953333333336</v>
      </c>
      <c r="BE40" s="7">
        <f t="shared" si="167"/>
        <v>525.93208888888887</v>
      </c>
      <c r="BF40" s="7">
        <f t="shared" ref="BF40:BI40" si="168">0.1*BF39</f>
        <v>508.17487777777774</v>
      </c>
      <c r="BG40" s="7">
        <f t="shared" si="168"/>
        <v>517.97651111111111</v>
      </c>
      <c r="BH40" s="7">
        <f t="shared" si="168"/>
        <v>531.75919999999996</v>
      </c>
      <c r="BI40" s="7">
        <f t="shared" si="168"/>
        <v>542.35704444444445</v>
      </c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</row>
    <row r="41" spans="2:116">
      <c r="B41" s="4" t="s">
        <v>703</v>
      </c>
      <c r="C41" s="3"/>
      <c r="D41" s="3"/>
      <c r="E41" s="3"/>
      <c r="F41" s="3"/>
      <c r="G41" s="3"/>
      <c r="H41" s="3"/>
      <c r="I41" s="7">
        <f t="shared" ref="I41:Y41" si="169">0.68*I39</f>
        <v>1031.0112399999998</v>
      </c>
      <c r="J41" s="7">
        <f t="shared" si="169"/>
        <v>1090.7000533333335</v>
      </c>
      <c r="K41" s="7">
        <f t="shared" si="169"/>
        <v>1073.5386666666666</v>
      </c>
      <c r="L41" s="7">
        <f t="shared" si="169"/>
        <v>1075.5124799999999</v>
      </c>
      <c r="M41" s="7">
        <f t="shared" si="169"/>
        <v>1137.1439022222223</v>
      </c>
      <c r="N41" s="7">
        <f t="shared" si="169"/>
        <v>1257.7966799999999</v>
      </c>
      <c r="O41" s="7">
        <f t="shared" si="169"/>
        <v>1325.0824533333334</v>
      </c>
      <c r="P41" s="7">
        <f t="shared" si="169"/>
        <v>1322.9161244444444</v>
      </c>
      <c r="Q41" s="7">
        <f t="shared" si="169"/>
        <v>1445.9092355555556</v>
      </c>
      <c r="R41" s="7">
        <f t="shared" si="169"/>
        <v>1559.146462222222</v>
      </c>
      <c r="S41" s="7">
        <f t="shared" si="169"/>
        <v>1580.00584</v>
      </c>
      <c r="T41" s="7">
        <f t="shared" si="169"/>
        <v>1634.7997866666667</v>
      </c>
      <c r="U41" s="7">
        <f t="shared" si="169"/>
        <v>1709.7412266666663</v>
      </c>
      <c r="V41" s="7">
        <f t="shared" si="169"/>
        <v>1868.3782755555555</v>
      </c>
      <c r="W41" s="7">
        <f t="shared" si="169"/>
        <v>1912.367551111111</v>
      </c>
      <c r="X41" s="7">
        <f t="shared" si="169"/>
        <v>1986.55744</v>
      </c>
      <c r="Y41" s="7">
        <f t="shared" si="169"/>
        <v>2032.2423333333331</v>
      </c>
      <c r="Z41" s="7">
        <f t="shared" ref="Z41:AE41" si="170">0.68*Z39</f>
        <v>2157.435093333333</v>
      </c>
      <c r="AA41" s="7">
        <f t="shared" si="170"/>
        <v>2065.9071688888889</v>
      </c>
      <c r="AB41" s="7">
        <f t="shared" si="170"/>
        <v>2112.3705866666664</v>
      </c>
      <c r="AC41" s="7">
        <f t="shared" si="170"/>
        <v>2081.3205777777775</v>
      </c>
      <c r="AD41" s="7">
        <f t="shared" si="170"/>
        <v>2176.3365244444444</v>
      </c>
      <c r="AE41" s="7">
        <f t="shared" si="170"/>
        <v>2044.1111288888887</v>
      </c>
      <c r="AF41" s="7">
        <f t="shared" ref="AF41:AL41" si="171">0.68*AF39</f>
        <v>2018.1987466666667</v>
      </c>
      <c r="AG41" s="7">
        <f t="shared" si="171"/>
        <v>2016.2640711111112</v>
      </c>
      <c r="AH41" s="7">
        <f t="shared" si="171"/>
        <v>2084.7372</v>
      </c>
      <c r="AI41" s="7">
        <f t="shared" si="171"/>
        <v>1999.7585066666666</v>
      </c>
      <c r="AJ41" s="7">
        <f t="shared" si="171"/>
        <v>1958.2195733333335</v>
      </c>
      <c r="AK41" s="7">
        <f t="shared" si="171"/>
        <v>2068.3511644444443</v>
      </c>
      <c r="AL41" s="7">
        <f t="shared" si="171"/>
        <v>2199.6689866666666</v>
      </c>
      <c r="AM41" s="7">
        <f t="shared" ref="AM41:AN41" si="172">0.68*AM39</f>
        <v>2111.1070711111111</v>
      </c>
      <c r="AN41" s="7">
        <f t="shared" si="172"/>
        <v>2145.0416399999999</v>
      </c>
      <c r="AO41" s="7">
        <f t="shared" ref="AO41:AP41" si="173">0.68*AO39</f>
        <v>2121.2199555555553</v>
      </c>
      <c r="AP41" s="7">
        <f t="shared" si="173"/>
        <v>2201.0541466666664</v>
      </c>
      <c r="AQ41" s="7">
        <f t="shared" ref="AQ41:AR41" si="174">0.68*AQ39</f>
        <v>2040.6945066666667</v>
      </c>
      <c r="AR41" s="7">
        <f t="shared" si="174"/>
        <v>2097.9752888888893</v>
      </c>
      <c r="AS41" s="7">
        <f t="shared" ref="AS41:AT41" si="175">0.68*AS39</f>
        <v>2119.6200666666668</v>
      </c>
      <c r="AT41" s="7">
        <f t="shared" si="175"/>
        <v>2199.46272</v>
      </c>
      <c r="AU41" s="7">
        <f t="shared" ref="AU41:AV41" si="176">0.68*AU39</f>
        <v>2251.309168888889</v>
      </c>
      <c r="AV41" s="7">
        <f t="shared" si="176"/>
        <v>2322.1099377777778</v>
      </c>
      <c r="AW41" s="7">
        <f t="shared" ref="AW41:AX41" si="177">0.68*AW39</f>
        <v>2337.0965333333334</v>
      </c>
      <c r="AX41" s="7">
        <f t="shared" si="177"/>
        <v>2560.7530666666671</v>
      </c>
      <c r="AY41" s="7">
        <f t="shared" ref="AY41:AZ41" si="178">0.68*AY39</f>
        <v>2451.7347866666669</v>
      </c>
      <c r="AZ41" s="7">
        <f t="shared" si="178"/>
        <v>2524.8563200000003</v>
      </c>
      <c r="BA41" s="7">
        <f t="shared" ref="BA41:BB41" si="179">0.68*BA39</f>
        <v>2528.4802666666665</v>
      </c>
      <c r="BB41" s="7">
        <f t="shared" si="179"/>
        <v>2704.92236</v>
      </c>
      <c r="BC41" s="7">
        <f t="shared" ref="BC41:BE41" si="180">0.68*BC39</f>
        <v>2763.2022133333335</v>
      </c>
      <c r="BD41" s="7">
        <f t="shared" si="180"/>
        <v>3325.3328266666667</v>
      </c>
      <c r="BE41" s="7">
        <f t="shared" si="180"/>
        <v>3576.3382044444443</v>
      </c>
      <c r="BF41" s="7">
        <f t="shared" ref="BF41:BI41" si="181">0.68*BF39</f>
        <v>3455.5891688888887</v>
      </c>
      <c r="BG41" s="7">
        <f t="shared" si="181"/>
        <v>3522.2402755555559</v>
      </c>
      <c r="BH41" s="7">
        <f t="shared" si="181"/>
        <v>3615.9625599999999</v>
      </c>
      <c r="BI41" s="7">
        <f t="shared" si="181"/>
        <v>3688.0279022222226</v>
      </c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</row>
    <row r="42" spans="2:116">
      <c r="B42" s="4" t="s">
        <v>704</v>
      </c>
      <c r="C42" s="3"/>
      <c r="D42" s="3"/>
      <c r="E42" s="3"/>
      <c r="F42" s="3"/>
      <c r="G42" s="3"/>
      <c r="H42" s="3"/>
      <c r="I42" s="7">
        <f t="shared" ref="I42:Y42" si="182">I39-I40-I41</f>
        <v>333.56245999999987</v>
      </c>
      <c r="J42" s="7">
        <f t="shared" si="182"/>
        <v>352.87354666666647</v>
      </c>
      <c r="K42" s="7">
        <f t="shared" si="182"/>
        <v>347.32133333333309</v>
      </c>
      <c r="L42" s="7">
        <f t="shared" si="182"/>
        <v>347.95991999999978</v>
      </c>
      <c r="M42" s="7">
        <f t="shared" si="182"/>
        <v>367.8994977777777</v>
      </c>
      <c r="N42" s="7">
        <f t="shared" si="182"/>
        <v>406.93421999999987</v>
      </c>
      <c r="O42" s="7">
        <f t="shared" si="182"/>
        <v>428.7031466666665</v>
      </c>
      <c r="P42" s="7">
        <f t="shared" si="182"/>
        <v>428.00227555555534</v>
      </c>
      <c r="Q42" s="7">
        <f t="shared" si="182"/>
        <v>467.79416444444428</v>
      </c>
      <c r="R42" s="7">
        <f t="shared" si="182"/>
        <v>504.42973777777752</v>
      </c>
      <c r="S42" s="7">
        <f t="shared" si="182"/>
        <v>511.17836000000011</v>
      </c>
      <c r="T42" s="7">
        <f t="shared" si="182"/>
        <v>528.90581333333307</v>
      </c>
      <c r="U42" s="7">
        <f t="shared" si="182"/>
        <v>553.15157333333332</v>
      </c>
      <c r="V42" s="7">
        <f t="shared" si="182"/>
        <v>604.47532444444391</v>
      </c>
      <c r="W42" s="7">
        <f t="shared" si="182"/>
        <v>618.7071488888887</v>
      </c>
      <c r="X42" s="7">
        <f t="shared" si="182"/>
        <v>642.70975999999973</v>
      </c>
      <c r="Y42" s="7">
        <f t="shared" si="182"/>
        <v>657.49016666666648</v>
      </c>
      <c r="Z42" s="7">
        <f t="shared" ref="Z42:AE42" si="183">Z39-Z40-Z41</f>
        <v>697.99370666666664</v>
      </c>
      <c r="AA42" s="7">
        <f t="shared" si="183"/>
        <v>668.38173111111064</v>
      </c>
      <c r="AB42" s="7">
        <f t="shared" si="183"/>
        <v>683.41401333333351</v>
      </c>
      <c r="AC42" s="7">
        <f t="shared" si="183"/>
        <v>673.36842222222231</v>
      </c>
      <c r="AD42" s="7">
        <f t="shared" si="183"/>
        <v>704.10887555555519</v>
      </c>
      <c r="AE42" s="7">
        <f t="shared" si="183"/>
        <v>661.33007111111101</v>
      </c>
      <c r="AF42" s="7">
        <f t="shared" ref="AF42:AL42" si="184">AF39-AF40-AF41</f>
        <v>652.94665333333319</v>
      </c>
      <c r="AG42" s="7">
        <f t="shared" si="184"/>
        <v>652.32072888888842</v>
      </c>
      <c r="AH42" s="7">
        <f t="shared" si="184"/>
        <v>674.47379999999976</v>
      </c>
      <c r="AI42" s="7">
        <f t="shared" si="184"/>
        <v>646.98069333333297</v>
      </c>
      <c r="AJ42" s="7">
        <f t="shared" si="184"/>
        <v>633.54162666666639</v>
      </c>
      <c r="AK42" s="7">
        <f t="shared" si="184"/>
        <v>669.17243555555569</v>
      </c>
      <c r="AL42" s="7">
        <f t="shared" si="184"/>
        <v>711.6576133333333</v>
      </c>
      <c r="AM42" s="7">
        <f t="shared" ref="AM42:AN42" si="185">AM39-AM40-AM41</f>
        <v>683.00522888888872</v>
      </c>
      <c r="AN42" s="7">
        <f t="shared" si="185"/>
        <v>693.98406000000023</v>
      </c>
      <c r="AO42" s="7">
        <f t="shared" ref="AO42:AP42" si="186">AO39-AO40-AO41</f>
        <v>686.27704444444453</v>
      </c>
      <c r="AP42" s="7">
        <f t="shared" si="186"/>
        <v>712.10575333333327</v>
      </c>
      <c r="AQ42" s="7">
        <f t="shared" ref="AQ42:AR42" si="187">AQ39-AQ40-AQ41</f>
        <v>660.22469333333311</v>
      </c>
      <c r="AR42" s="7">
        <f t="shared" si="187"/>
        <v>678.75671111111069</v>
      </c>
      <c r="AS42" s="7">
        <f t="shared" ref="AS42:AT42" si="188">AS39-AS40-AS41</f>
        <v>685.75943333333316</v>
      </c>
      <c r="AT42" s="7">
        <f t="shared" si="188"/>
        <v>711.59087999999974</v>
      </c>
      <c r="AU42" s="7">
        <f t="shared" ref="AU42:AV42" si="189">AU39-AU40-AU41</f>
        <v>728.36473111111081</v>
      </c>
      <c r="AV42" s="7">
        <f t="shared" si="189"/>
        <v>751.27086222222169</v>
      </c>
      <c r="AW42" s="7">
        <f t="shared" ref="AW42:AX42" si="190">AW39-AW40-AW41</f>
        <v>756.11946666666609</v>
      </c>
      <c r="AX42" s="7">
        <f t="shared" si="190"/>
        <v>828.47893333333286</v>
      </c>
      <c r="AY42" s="7">
        <f t="shared" ref="AY42:AZ42" si="191">AY39-AY40-AY41</f>
        <v>793.20831333333308</v>
      </c>
      <c r="AZ42" s="7">
        <f t="shared" si="191"/>
        <v>816.86527999999953</v>
      </c>
      <c r="BA42" s="7">
        <f t="shared" ref="BA42:BB42" si="192">BA39-BA40-BA41</f>
        <v>818.03773333333311</v>
      </c>
      <c r="BB42" s="7">
        <f t="shared" si="192"/>
        <v>875.12193999999954</v>
      </c>
      <c r="BC42" s="7">
        <f t="shared" ref="BC42:BE42" si="193">BC39-BC40-BC41</f>
        <v>893.97718666666651</v>
      </c>
      <c r="BD42" s="7">
        <f t="shared" si="193"/>
        <v>1075.8429733333332</v>
      </c>
      <c r="BE42" s="7">
        <f t="shared" si="193"/>
        <v>1157.0505955555554</v>
      </c>
      <c r="BF42" s="7">
        <f t="shared" ref="BF42:BI42" si="194">BF39-BF40-BF41</f>
        <v>1117.9847311111107</v>
      </c>
      <c r="BG42" s="7">
        <f t="shared" si="194"/>
        <v>1139.548324444444</v>
      </c>
      <c r="BH42" s="7">
        <f t="shared" si="194"/>
        <v>1169.8702400000002</v>
      </c>
      <c r="BI42" s="7">
        <f t="shared" si="194"/>
        <v>1193.185497777778</v>
      </c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</row>
    <row r="43" spans="2:116">
      <c r="B43" s="4"/>
      <c r="C43" s="3"/>
      <c r="D43" s="3"/>
      <c r="E43" s="3"/>
      <c r="F43" s="3"/>
      <c r="G43" s="3"/>
      <c r="H43" s="3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</row>
    <row r="44" spans="2:116">
      <c r="B44" s="95" t="s">
        <v>701</v>
      </c>
      <c r="C44" s="95"/>
      <c r="D44" s="95"/>
      <c r="E44" s="95"/>
      <c r="F44" s="95"/>
      <c r="G44" s="95"/>
      <c r="H44" s="95"/>
      <c r="I44" s="243">
        <f t="shared" ref="I44:Y44" si="195">I36-I39</f>
        <v>1407.8935000000001</v>
      </c>
      <c r="J44" s="243">
        <f t="shared" si="195"/>
        <v>1489.4013333333332</v>
      </c>
      <c r="K44" s="243">
        <f t="shared" si="195"/>
        <v>1465.9666666666667</v>
      </c>
      <c r="L44" s="243">
        <f t="shared" si="195"/>
        <v>1468.662</v>
      </c>
      <c r="M44" s="243">
        <f t="shared" si="195"/>
        <v>1552.8225555555555</v>
      </c>
      <c r="N44" s="243">
        <f t="shared" si="195"/>
        <v>1717.5795000000001</v>
      </c>
      <c r="O44" s="243">
        <f t="shared" si="195"/>
        <v>1809.4613333333334</v>
      </c>
      <c r="P44" s="243">
        <f t="shared" si="195"/>
        <v>1806.5031111111111</v>
      </c>
      <c r="Q44" s="243">
        <f t="shared" si="195"/>
        <v>1974.4558888888887</v>
      </c>
      <c r="R44" s="243">
        <f t="shared" si="195"/>
        <v>2129.0865555555556</v>
      </c>
      <c r="S44" s="243">
        <f t="shared" si="195"/>
        <v>2157.5710000000004</v>
      </c>
      <c r="T44" s="243">
        <f t="shared" si="195"/>
        <v>2232.3946666666666</v>
      </c>
      <c r="U44" s="243">
        <f t="shared" si="195"/>
        <v>2334.7306666666668</v>
      </c>
      <c r="V44" s="243">
        <f t="shared" si="195"/>
        <v>2551.356888888889</v>
      </c>
      <c r="W44" s="243">
        <f t="shared" si="195"/>
        <v>2611.4262777777781</v>
      </c>
      <c r="X44" s="243">
        <f t="shared" si="195"/>
        <v>2712.7360000000003</v>
      </c>
      <c r="Y44" s="243">
        <f t="shared" si="195"/>
        <v>2775.1208333333334</v>
      </c>
      <c r="Z44" s="243">
        <f t="shared" ref="Z44:AE44" si="196">Z36-Z39</f>
        <v>2946.0773333333336</v>
      </c>
      <c r="AA44" s="243">
        <f t="shared" si="196"/>
        <v>2821.0917222222224</v>
      </c>
      <c r="AB44" s="243">
        <f t="shared" si="196"/>
        <v>2884.5396666666666</v>
      </c>
      <c r="AC44" s="243">
        <f t="shared" si="196"/>
        <v>2842.1394444444445</v>
      </c>
      <c r="AD44" s="243">
        <f t="shared" si="196"/>
        <v>2971.8881111111114</v>
      </c>
      <c r="AE44" s="243">
        <f t="shared" si="196"/>
        <v>2791.3282222222224</v>
      </c>
      <c r="AF44" s="243">
        <f t="shared" ref="AF44:AL44" si="197">AF36-AF39</f>
        <v>2755.9436666666666</v>
      </c>
      <c r="AG44" s="243">
        <f t="shared" si="197"/>
        <v>2753.3017777777777</v>
      </c>
      <c r="AH44" s="243">
        <f t="shared" si="197"/>
        <v>2846.8050000000003</v>
      </c>
      <c r="AI44" s="243">
        <f t="shared" si="197"/>
        <v>2730.762666666667</v>
      </c>
      <c r="AJ44" s="243">
        <f t="shared" si="197"/>
        <v>2674.0393333333336</v>
      </c>
      <c r="AK44" s="243">
        <f t="shared" si="197"/>
        <v>2824.4291111111115</v>
      </c>
      <c r="AL44" s="243">
        <f t="shared" si="197"/>
        <v>3003.7496666666666</v>
      </c>
      <c r="AM44" s="243">
        <f t="shared" ref="AM44:AN44" si="198">AM36-AM39</f>
        <v>2882.814277777778</v>
      </c>
      <c r="AN44" s="243">
        <f t="shared" si="198"/>
        <v>2929.1535000000003</v>
      </c>
      <c r="AO44" s="243">
        <f t="shared" ref="AO44:AP44" si="199">AO36-AO39</f>
        <v>2896.6238888888888</v>
      </c>
      <c r="AP44" s="243">
        <f t="shared" si="199"/>
        <v>3005.6411666666668</v>
      </c>
      <c r="AQ44" s="243">
        <f t="shared" ref="AQ44:AR44" si="200">AQ36-AQ39</f>
        <v>2786.6626666666671</v>
      </c>
      <c r="AR44" s="243">
        <f t="shared" si="200"/>
        <v>2864.8822222222225</v>
      </c>
      <c r="AS44" s="243">
        <f t="shared" ref="AS44:AT44" si="201">AS36-AS39</f>
        <v>2894.439166666667</v>
      </c>
      <c r="AT44" s="243">
        <f t="shared" si="201"/>
        <v>3003.4679999999998</v>
      </c>
      <c r="AU44" s="243">
        <f t="shared" ref="AU44:AV44" si="202">AU36-AU39</f>
        <v>3074.2667222222226</v>
      </c>
      <c r="AV44" s="243">
        <f t="shared" si="202"/>
        <v>3170.9484444444447</v>
      </c>
      <c r="AW44" s="243">
        <f t="shared" ref="AW44:AX44" si="203">AW36-AW39</f>
        <v>3191.4133333333334</v>
      </c>
      <c r="AX44" s="243">
        <f t="shared" si="203"/>
        <v>3496.8266666666668</v>
      </c>
      <c r="AY44" s="243">
        <f t="shared" ref="AY44:AZ44" si="204">AY36-AY39</f>
        <v>3347.9571666666666</v>
      </c>
      <c r="AZ44" s="243">
        <f t="shared" si="204"/>
        <v>3447.8080000000004</v>
      </c>
      <c r="BA44" s="243">
        <f t="shared" ref="BA44:BB44" si="205">BA36-BA39</f>
        <v>3452.7566666666667</v>
      </c>
      <c r="BB44" s="243">
        <f t="shared" si="205"/>
        <v>3693.6965000000005</v>
      </c>
      <c r="BC44" s="243">
        <f t="shared" ref="BC44:BE44" si="206">BC36-BC39</f>
        <v>3773.2803333333336</v>
      </c>
      <c r="BD44" s="243">
        <f t="shared" si="206"/>
        <v>4540.8956666666672</v>
      </c>
      <c r="BE44" s="243">
        <f t="shared" si="206"/>
        <v>4883.6551111111121</v>
      </c>
      <c r="BF44" s="243">
        <f t="shared" ref="BF44:BI44" si="207">BF36-BF39</f>
        <v>4718.7667222222226</v>
      </c>
      <c r="BG44" s="243">
        <f t="shared" si="207"/>
        <v>4809.7818888888896</v>
      </c>
      <c r="BH44" s="243">
        <f t="shared" si="207"/>
        <v>4937.7640000000001</v>
      </c>
      <c r="BI44" s="243">
        <f t="shared" si="207"/>
        <v>5036.1725555555558</v>
      </c>
      <c r="BL44" s="243"/>
      <c r="BM44" s="243"/>
      <c r="BN44" s="243"/>
      <c r="BO44" s="243"/>
      <c r="BP44" s="243"/>
      <c r="BQ44" s="243"/>
      <c r="BR44" s="243"/>
      <c r="BS44" s="243"/>
      <c r="BT44" s="243"/>
      <c r="BU44" s="243"/>
      <c r="BV44" s="243"/>
      <c r="BW44" s="243"/>
      <c r="BX44" s="243"/>
      <c r="BY44" s="24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</row>
    <row r="45" spans="2:116">
      <c r="B45" s="4" t="s">
        <v>705</v>
      </c>
      <c r="C45" s="3"/>
      <c r="D45" s="3"/>
      <c r="E45" s="3"/>
      <c r="F45" s="3"/>
      <c r="G45" s="3"/>
      <c r="H45" s="3"/>
      <c r="I45" s="7">
        <f t="shared" ref="I45:Y45" si="208">I44*0.04</f>
        <v>56.315740000000005</v>
      </c>
      <c r="J45" s="7">
        <f t="shared" si="208"/>
        <v>59.576053333333334</v>
      </c>
      <c r="K45" s="7">
        <f t="shared" si="208"/>
        <v>58.638666666666666</v>
      </c>
      <c r="L45" s="7">
        <f t="shared" si="208"/>
        <v>58.746480000000005</v>
      </c>
      <c r="M45" s="7">
        <f t="shared" si="208"/>
        <v>62.112902222222218</v>
      </c>
      <c r="N45" s="7">
        <f t="shared" si="208"/>
        <v>68.703180000000003</v>
      </c>
      <c r="O45" s="7">
        <f t="shared" si="208"/>
        <v>72.37845333333334</v>
      </c>
      <c r="P45" s="7">
        <f t="shared" si="208"/>
        <v>72.260124444444443</v>
      </c>
      <c r="Q45" s="7">
        <f t="shared" si="208"/>
        <v>78.978235555555543</v>
      </c>
      <c r="R45" s="7">
        <f t="shared" si="208"/>
        <v>85.163462222222222</v>
      </c>
      <c r="S45" s="7">
        <f t="shared" si="208"/>
        <v>86.302840000000018</v>
      </c>
      <c r="T45" s="7">
        <f t="shared" si="208"/>
        <v>89.295786666666672</v>
      </c>
      <c r="U45" s="7">
        <f t="shared" si="208"/>
        <v>93.389226666666673</v>
      </c>
      <c r="V45" s="7">
        <f t="shared" si="208"/>
        <v>102.05427555555556</v>
      </c>
      <c r="W45" s="7">
        <f t="shared" si="208"/>
        <v>104.45705111111113</v>
      </c>
      <c r="X45" s="7">
        <f t="shared" si="208"/>
        <v>108.50944000000001</v>
      </c>
      <c r="Y45" s="7">
        <f t="shared" si="208"/>
        <v>111.00483333333334</v>
      </c>
      <c r="Z45" s="7">
        <f t="shared" ref="Z45:AE45" si="209">Z44*0.04</f>
        <v>117.84309333333334</v>
      </c>
      <c r="AA45" s="7">
        <f t="shared" si="209"/>
        <v>112.8436688888889</v>
      </c>
      <c r="AB45" s="7">
        <f t="shared" si="209"/>
        <v>115.38158666666666</v>
      </c>
      <c r="AC45" s="7">
        <f t="shared" si="209"/>
        <v>113.68557777777778</v>
      </c>
      <c r="AD45" s="7">
        <f t="shared" si="209"/>
        <v>118.87552444444445</v>
      </c>
      <c r="AE45" s="7">
        <f t="shared" si="209"/>
        <v>111.6531288888889</v>
      </c>
      <c r="AF45" s="7">
        <f t="shared" ref="AF45:AL45" si="210">AF44*0.04</f>
        <v>110.23774666666667</v>
      </c>
      <c r="AG45" s="7">
        <f t="shared" si="210"/>
        <v>110.13207111111112</v>
      </c>
      <c r="AH45" s="7">
        <f t="shared" si="210"/>
        <v>113.87220000000002</v>
      </c>
      <c r="AI45" s="7">
        <f t="shared" si="210"/>
        <v>109.23050666666668</v>
      </c>
      <c r="AJ45" s="7">
        <f t="shared" si="210"/>
        <v>106.96157333333335</v>
      </c>
      <c r="AK45" s="7">
        <f t="shared" si="210"/>
        <v>112.97716444444447</v>
      </c>
      <c r="AL45" s="7">
        <f t="shared" si="210"/>
        <v>120.14998666666666</v>
      </c>
      <c r="AM45" s="7">
        <f t="shared" ref="AM45:AN45" si="211">AM44*0.04</f>
        <v>115.31257111111113</v>
      </c>
      <c r="AN45" s="7">
        <f t="shared" si="211"/>
        <v>117.16614000000001</v>
      </c>
      <c r="AO45" s="7">
        <f t="shared" ref="AO45:AP45" si="212">AO44*0.04</f>
        <v>115.86495555555555</v>
      </c>
      <c r="AP45" s="7">
        <f t="shared" si="212"/>
        <v>120.22564666666668</v>
      </c>
      <c r="AQ45" s="7">
        <f t="shared" ref="AQ45:AR45" si="213">AQ44*0.04</f>
        <v>111.46650666666669</v>
      </c>
      <c r="AR45" s="7">
        <f t="shared" si="213"/>
        <v>114.5952888888889</v>
      </c>
      <c r="AS45" s="7">
        <f t="shared" ref="AS45:AT45" si="214">AS44*0.04</f>
        <v>115.77756666666669</v>
      </c>
      <c r="AT45" s="7">
        <f t="shared" si="214"/>
        <v>120.13871999999999</v>
      </c>
      <c r="AU45" s="7">
        <f t="shared" ref="AU45:AV45" si="215">AU44*0.04</f>
        <v>122.97066888888891</v>
      </c>
      <c r="AV45" s="7">
        <f t="shared" si="215"/>
        <v>126.8379377777778</v>
      </c>
      <c r="AW45" s="7">
        <f t="shared" ref="AW45:AX45" si="216">AW44*0.04</f>
        <v>127.65653333333334</v>
      </c>
      <c r="AX45" s="7">
        <f t="shared" si="216"/>
        <v>139.87306666666669</v>
      </c>
      <c r="AY45" s="7">
        <f t="shared" ref="AY45:AZ45" si="217">AY44*0.04</f>
        <v>133.91828666666666</v>
      </c>
      <c r="AZ45" s="7">
        <f t="shared" si="217"/>
        <v>137.91232000000002</v>
      </c>
      <c r="BA45" s="7">
        <f t="shared" ref="BA45:BB45" si="218">BA44*0.04</f>
        <v>138.11026666666666</v>
      </c>
      <c r="BB45" s="7">
        <f t="shared" si="218"/>
        <v>147.74786000000003</v>
      </c>
      <c r="BC45" s="7">
        <f t="shared" ref="BC45:BE45" si="219">BC44*0.04</f>
        <v>150.93121333333335</v>
      </c>
      <c r="BD45" s="7">
        <f t="shared" si="219"/>
        <v>181.6358266666667</v>
      </c>
      <c r="BE45" s="7">
        <f t="shared" si="219"/>
        <v>195.34620444444448</v>
      </c>
      <c r="BF45" s="7">
        <f t="shared" ref="BF45:BI45" si="220">BF44*0.04</f>
        <v>188.7506688888889</v>
      </c>
      <c r="BG45" s="7">
        <f t="shared" si="220"/>
        <v>192.39127555555558</v>
      </c>
      <c r="BH45" s="7">
        <f t="shared" si="220"/>
        <v>197.51056</v>
      </c>
      <c r="BI45" s="7">
        <f t="shared" si="220"/>
        <v>201.44690222222223</v>
      </c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</row>
    <row r="46" spans="2:116">
      <c r="B46" s="4" t="s">
        <v>706</v>
      </c>
      <c r="C46" s="3"/>
      <c r="D46" s="3"/>
      <c r="E46" s="3"/>
      <c r="F46" s="3"/>
      <c r="G46" s="3"/>
      <c r="H46" s="3"/>
      <c r="I46" s="7">
        <f t="shared" ref="I46:Y46" si="221">I44*0.73</f>
        <v>1027.7622550000001</v>
      </c>
      <c r="J46" s="7">
        <f t="shared" si="221"/>
        <v>1087.2629733333333</v>
      </c>
      <c r="K46" s="7">
        <f t="shared" si="221"/>
        <v>1070.1556666666668</v>
      </c>
      <c r="L46" s="7">
        <f t="shared" si="221"/>
        <v>1072.1232600000001</v>
      </c>
      <c r="M46" s="7">
        <f t="shared" si="221"/>
        <v>1133.5604655555555</v>
      </c>
      <c r="N46" s="7">
        <f t="shared" si="221"/>
        <v>1253.8330350000001</v>
      </c>
      <c r="O46" s="7">
        <f t="shared" si="221"/>
        <v>1320.9067733333334</v>
      </c>
      <c r="P46" s="7">
        <f t="shared" si="221"/>
        <v>1318.7472711111111</v>
      </c>
      <c r="Q46" s="7">
        <f t="shared" si="221"/>
        <v>1441.3527988888886</v>
      </c>
      <c r="R46" s="7">
        <f t="shared" si="221"/>
        <v>1554.2331855555556</v>
      </c>
      <c r="S46" s="7">
        <f t="shared" si="221"/>
        <v>1575.0268300000002</v>
      </c>
      <c r="T46" s="7">
        <f t="shared" si="221"/>
        <v>1629.6481066666665</v>
      </c>
      <c r="U46" s="7">
        <f t="shared" si="221"/>
        <v>1704.3533866666667</v>
      </c>
      <c r="V46" s="7">
        <f t="shared" si="221"/>
        <v>1862.490528888889</v>
      </c>
      <c r="W46" s="7">
        <f t="shared" si="221"/>
        <v>1906.3411827777779</v>
      </c>
      <c r="X46" s="7">
        <f t="shared" si="221"/>
        <v>1980.2972800000002</v>
      </c>
      <c r="Y46" s="7">
        <f t="shared" si="221"/>
        <v>2025.8382083333333</v>
      </c>
      <c r="Z46" s="7">
        <f t="shared" ref="Z46:AE46" si="222">Z44*0.73</f>
        <v>2150.6364533333335</v>
      </c>
      <c r="AA46" s="7">
        <f t="shared" si="222"/>
        <v>2059.3969572222222</v>
      </c>
      <c r="AB46" s="7">
        <f t="shared" si="222"/>
        <v>2105.7139566666665</v>
      </c>
      <c r="AC46" s="7">
        <f t="shared" si="222"/>
        <v>2074.7617944444446</v>
      </c>
      <c r="AD46" s="7">
        <f t="shared" si="222"/>
        <v>2169.4783211111112</v>
      </c>
      <c r="AE46" s="7">
        <f t="shared" si="222"/>
        <v>2037.6696022222222</v>
      </c>
      <c r="AF46" s="7">
        <f t="shared" ref="AF46:AL46" si="223">AF44*0.73</f>
        <v>2011.8388766666665</v>
      </c>
      <c r="AG46" s="7">
        <f t="shared" si="223"/>
        <v>2009.9102977777777</v>
      </c>
      <c r="AH46" s="7">
        <f t="shared" si="223"/>
        <v>2078.1676500000003</v>
      </c>
      <c r="AI46" s="7">
        <f t="shared" si="223"/>
        <v>1993.4567466666667</v>
      </c>
      <c r="AJ46" s="7">
        <f t="shared" si="223"/>
        <v>1952.0487133333336</v>
      </c>
      <c r="AK46" s="7">
        <f t="shared" si="223"/>
        <v>2061.8332511111112</v>
      </c>
      <c r="AL46" s="7">
        <f t="shared" si="223"/>
        <v>2192.7372566666668</v>
      </c>
      <c r="AM46" s="7">
        <f t="shared" ref="AM46:AN46" si="224">AM44*0.73</f>
        <v>2104.4544227777778</v>
      </c>
      <c r="AN46" s="7">
        <f t="shared" si="224"/>
        <v>2138.2820550000001</v>
      </c>
      <c r="AO46" s="7">
        <f t="shared" ref="AO46:AP46" si="225">AO44*0.73</f>
        <v>2114.5354388888886</v>
      </c>
      <c r="AP46" s="7">
        <f t="shared" si="225"/>
        <v>2194.1180516666668</v>
      </c>
      <c r="AQ46" s="7">
        <f t="shared" ref="AQ46:AR46" si="226">AQ44*0.73</f>
        <v>2034.263746666667</v>
      </c>
      <c r="AR46" s="7">
        <f t="shared" si="226"/>
        <v>2091.3640222222225</v>
      </c>
      <c r="AS46" s="7">
        <f t="shared" ref="AS46:AT46" si="227">AS44*0.73</f>
        <v>2112.9405916666669</v>
      </c>
      <c r="AT46" s="7">
        <f t="shared" si="227"/>
        <v>2192.5316399999997</v>
      </c>
      <c r="AU46" s="7">
        <f t="shared" ref="AU46:AV46" si="228">AU44*0.73</f>
        <v>2244.2147072222224</v>
      </c>
      <c r="AV46" s="7">
        <f t="shared" si="228"/>
        <v>2314.7923644444445</v>
      </c>
      <c r="AW46" s="7">
        <f t="shared" ref="AW46:AX46" si="229">AW44*0.73</f>
        <v>2329.7317333333335</v>
      </c>
      <c r="AX46" s="7">
        <f t="shared" si="229"/>
        <v>2552.6834666666668</v>
      </c>
      <c r="AY46" s="7">
        <f t="shared" ref="AY46:AZ46" si="230">AY44*0.73</f>
        <v>2444.0087316666663</v>
      </c>
      <c r="AZ46" s="7">
        <f t="shared" si="230"/>
        <v>2516.89984</v>
      </c>
      <c r="BA46" s="7">
        <f t="shared" ref="BA46:BB46" si="231">BA44*0.73</f>
        <v>2520.5123666666668</v>
      </c>
      <c r="BB46" s="7">
        <f t="shared" si="231"/>
        <v>2696.3984450000003</v>
      </c>
      <c r="BC46" s="7">
        <f t="shared" ref="BC46:BE46" si="232">BC44*0.73</f>
        <v>2754.4946433333334</v>
      </c>
      <c r="BD46" s="7">
        <f t="shared" si="232"/>
        <v>3314.8538366666671</v>
      </c>
      <c r="BE46" s="7">
        <f t="shared" si="232"/>
        <v>3565.0682311111118</v>
      </c>
      <c r="BF46" s="7">
        <f t="shared" ref="BF46:BI46" si="233">BF44*0.73</f>
        <v>3444.6997072222225</v>
      </c>
      <c r="BG46" s="7">
        <f t="shared" si="233"/>
        <v>3511.1407788888891</v>
      </c>
      <c r="BH46" s="7">
        <f t="shared" si="233"/>
        <v>3604.56772</v>
      </c>
      <c r="BI46" s="7">
        <f t="shared" si="233"/>
        <v>3676.4059655555557</v>
      </c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</row>
    <row r="47" spans="2:116">
      <c r="B47" s="4" t="s">
        <v>707</v>
      </c>
      <c r="C47" s="3"/>
      <c r="D47" s="3"/>
      <c r="E47" s="3"/>
      <c r="F47" s="3"/>
      <c r="G47" s="3"/>
      <c r="H47" s="3"/>
      <c r="I47" s="7">
        <f t="shared" ref="I47:Y47" si="234">I44-I46</f>
        <v>380.13124500000004</v>
      </c>
      <c r="J47" s="7">
        <f t="shared" si="234"/>
        <v>402.13835999999992</v>
      </c>
      <c r="K47" s="7">
        <f t="shared" si="234"/>
        <v>395.81099999999992</v>
      </c>
      <c r="L47" s="7">
        <f t="shared" si="234"/>
        <v>396.53873999999996</v>
      </c>
      <c r="M47" s="7">
        <f t="shared" si="234"/>
        <v>419.26208999999994</v>
      </c>
      <c r="N47" s="7">
        <f t="shared" si="234"/>
        <v>463.74646499999994</v>
      </c>
      <c r="O47" s="7">
        <f t="shared" si="234"/>
        <v>488.55456000000004</v>
      </c>
      <c r="P47" s="7">
        <f t="shared" si="234"/>
        <v>487.75584000000003</v>
      </c>
      <c r="Q47" s="7">
        <f t="shared" si="234"/>
        <v>533.10309000000007</v>
      </c>
      <c r="R47" s="7">
        <f t="shared" si="234"/>
        <v>574.85337000000004</v>
      </c>
      <c r="S47" s="7">
        <f t="shared" si="234"/>
        <v>582.54417000000012</v>
      </c>
      <c r="T47" s="7">
        <f t="shared" si="234"/>
        <v>602.74656000000004</v>
      </c>
      <c r="U47" s="7">
        <f t="shared" si="234"/>
        <v>630.37728000000016</v>
      </c>
      <c r="V47" s="7">
        <f t="shared" si="234"/>
        <v>688.86635999999999</v>
      </c>
      <c r="W47" s="7">
        <f t="shared" si="234"/>
        <v>705.08509500000014</v>
      </c>
      <c r="X47" s="7">
        <f t="shared" si="234"/>
        <v>732.4387200000001</v>
      </c>
      <c r="Y47" s="7">
        <f t="shared" si="234"/>
        <v>749.28262500000005</v>
      </c>
      <c r="Z47" s="7">
        <f t="shared" ref="Z47:AE47" si="235">Z44-Z46</f>
        <v>795.44088000000011</v>
      </c>
      <c r="AA47" s="7">
        <f t="shared" si="235"/>
        <v>761.69476500000019</v>
      </c>
      <c r="AB47" s="7">
        <f t="shared" si="235"/>
        <v>778.82571000000007</v>
      </c>
      <c r="AC47" s="7">
        <f t="shared" si="235"/>
        <v>767.3776499999999</v>
      </c>
      <c r="AD47" s="7">
        <f t="shared" si="235"/>
        <v>802.40979000000016</v>
      </c>
      <c r="AE47" s="7">
        <f t="shared" si="235"/>
        <v>753.65862000000016</v>
      </c>
      <c r="AF47" s="7">
        <f t="shared" ref="AF47:AL47" si="236">AF44-AF46</f>
        <v>744.10479000000009</v>
      </c>
      <c r="AG47" s="7">
        <f t="shared" si="236"/>
        <v>743.39148</v>
      </c>
      <c r="AH47" s="7">
        <f t="shared" si="236"/>
        <v>768.63734999999997</v>
      </c>
      <c r="AI47" s="7">
        <f t="shared" si="236"/>
        <v>737.30592000000024</v>
      </c>
      <c r="AJ47" s="7">
        <f t="shared" si="236"/>
        <v>721.99062000000004</v>
      </c>
      <c r="AK47" s="7">
        <f t="shared" si="236"/>
        <v>762.59586000000036</v>
      </c>
      <c r="AL47" s="7">
        <f t="shared" si="236"/>
        <v>811.01240999999982</v>
      </c>
      <c r="AM47" s="7">
        <f t="shared" ref="AM47:AN47" si="237">AM44-AM46</f>
        <v>778.35985500000015</v>
      </c>
      <c r="AN47" s="7">
        <f t="shared" si="237"/>
        <v>790.87144500000022</v>
      </c>
      <c r="AO47" s="7">
        <f t="shared" ref="AO47:AP47" si="238">AO44-AO46</f>
        <v>782.08845000000019</v>
      </c>
      <c r="AP47" s="7">
        <f t="shared" si="238"/>
        <v>811.52311499999996</v>
      </c>
      <c r="AQ47" s="7">
        <f t="shared" ref="AQ47:AR47" si="239">AQ44-AQ46</f>
        <v>752.39892000000009</v>
      </c>
      <c r="AR47" s="7">
        <f t="shared" si="239"/>
        <v>773.51819999999998</v>
      </c>
      <c r="AS47" s="7">
        <f t="shared" ref="AS47:AT47" si="240">AS44-AS46</f>
        <v>781.49857500000007</v>
      </c>
      <c r="AT47" s="7">
        <f t="shared" si="240"/>
        <v>810.93636000000015</v>
      </c>
      <c r="AU47" s="7">
        <f t="shared" ref="AU47:AV47" si="241">AU44-AU46</f>
        <v>830.05201500000021</v>
      </c>
      <c r="AV47" s="7">
        <f t="shared" si="241"/>
        <v>856.1560800000002</v>
      </c>
      <c r="AW47" s="7">
        <f t="shared" ref="AW47:AX47" si="242">AW44-AW46</f>
        <v>861.68159999999989</v>
      </c>
      <c r="AX47" s="7">
        <f t="shared" si="242"/>
        <v>944.14319999999998</v>
      </c>
      <c r="AY47" s="7">
        <f t="shared" ref="AY47:AZ47" si="243">AY44-AY46</f>
        <v>903.94843500000025</v>
      </c>
      <c r="AZ47" s="7">
        <f t="shared" si="243"/>
        <v>930.90816000000041</v>
      </c>
      <c r="BA47" s="7">
        <f t="shared" ref="BA47:BB47" si="244">BA44-BA46</f>
        <v>932.24429999999984</v>
      </c>
      <c r="BB47" s="7">
        <f t="shared" si="244"/>
        <v>997.2980550000002</v>
      </c>
      <c r="BC47" s="7">
        <f t="shared" ref="BC47:BE47" si="245">BC44-BC46</f>
        <v>1018.7856900000002</v>
      </c>
      <c r="BD47" s="7">
        <f t="shared" si="245"/>
        <v>1226.0418300000001</v>
      </c>
      <c r="BE47" s="7">
        <f t="shared" si="245"/>
        <v>1318.5868800000003</v>
      </c>
      <c r="BF47" s="7">
        <f t="shared" ref="BF47:BI47" si="246">BF44-BF46</f>
        <v>1274.0670150000001</v>
      </c>
      <c r="BG47" s="7">
        <f t="shared" si="246"/>
        <v>1298.6411100000005</v>
      </c>
      <c r="BH47" s="7">
        <f t="shared" si="246"/>
        <v>1333.1962800000001</v>
      </c>
      <c r="BI47" s="7">
        <f t="shared" si="246"/>
        <v>1359.7665900000002</v>
      </c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</row>
    <row r="48" spans="2:116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5"/>
      <c r="N48" s="5"/>
      <c r="O48" s="5"/>
      <c r="P48" s="5"/>
      <c r="Q48" s="5"/>
      <c r="R48" s="5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</row>
    <row r="49" spans="2:116">
      <c r="B49" s="3" t="s">
        <v>709</v>
      </c>
      <c r="C49" s="3"/>
      <c r="D49" s="3"/>
      <c r="E49" s="3"/>
      <c r="F49" s="3"/>
      <c r="G49" s="3"/>
      <c r="H49" s="3"/>
      <c r="I49" s="7">
        <f t="shared" ref="I49:BB49" si="247">I39/AVERAGE(H4,I4)/3*1000</f>
        <v>86.592592592592567</v>
      </c>
      <c r="J49" s="7">
        <f t="shared" si="247"/>
        <v>90.222222222222214</v>
      </c>
      <c r="K49" s="7">
        <f t="shared" si="247"/>
        <v>88.148148148148138</v>
      </c>
      <c r="L49" s="7">
        <f t="shared" si="247"/>
        <v>88.666666666666657</v>
      </c>
      <c r="M49" s="7">
        <f t="shared" si="247"/>
        <v>92.296296296296276</v>
      </c>
      <c r="N49" s="7">
        <f t="shared" si="247"/>
        <v>97.999999999999986</v>
      </c>
      <c r="O49" s="7">
        <f t="shared" si="247"/>
        <v>99.555555555555557</v>
      </c>
      <c r="P49" s="7">
        <f t="shared" si="247"/>
        <v>96.962962962962962</v>
      </c>
      <c r="Q49" s="7">
        <f t="shared" si="247"/>
        <v>103.18518518518518</v>
      </c>
      <c r="R49" s="7">
        <f t="shared" si="247"/>
        <v>105.25925925925924</v>
      </c>
      <c r="S49" s="7">
        <f t="shared" si="247"/>
        <v>100.59259259259258</v>
      </c>
      <c r="T49" s="7">
        <f t="shared" si="247"/>
        <v>99.555555555555543</v>
      </c>
      <c r="U49" s="7">
        <f t="shared" si="247"/>
        <v>99.555555555555529</v>
      </c>
      <c r="V49" s="7">
        <f t="shared" si="247"/>
        <v>103.18518518518518</v>
      </c>
      <c r="W49" s="7">
        <f t="shared" si="247"/>
        <v>99.037037037037024</v>
      </c>
      <c r="X49" s="7">
        <f t="shared" si="247"/>
        <v>99.555555555555543</v>
      </c>
      <c r="Y49" s="7">
        <f t="shared" si="247"/>
        <v>101.1111111111111</v>
      </c>
      <c r="Z49" s="7">
        <f t="shared" si="247"/>
        <v>105.77777777777776</v>
      </c>
      <c r="AA49" s="7">
        <f t="shared" si="247"/>
        <v>100.07407407407405</v>
      </c>
      <c r="AB49" s="7">
        <f t="shared" si="247"/>
        <v>102.14814814814814</v>
      </c>
      <c r="AC49" s="7">
        <f t="shared" si="247"/>
        <v>100.07407407407405</v>
      </c>
      <c r="AD49" s="7">
        <f t="shared" si="247"/>
        <v>103.18518518518518</v>
      </c>
      <c r="AE49" s="7">
        <f t="shared" si="247"/>
        <v>96.962962962962962</v>
      </c>
      <c r="AF49" s="7">
        <f t="shared" si="247"/>
        <v>96.962962962962962</v>
      </c>
      <c r="AG49" s="7">
        <f t="shared" si="247"/>
        <v>97.481481481481495</v>
      </c>
      <c r="AH49" s="7">
        <f t="shared" si="247"/>
        <v>101.11111111111111</v>
      </c>
      <c r="AI49" s="7">
        <f t="shared" si="247"/>
        <v>97.481481481481467</v>
      </c>
      <c r="AJ49" s="7">
        <f t="shared" si="247"/>
        <v>96.444444444444443</v>
      </c>
      <c r="AK49" s="7">
        <f t="shared" si="247"/>
        <v>103.18518518518518</v>
      </c>
      <c r="AL49" s="7">
        <f t="shared" si="247"/>
        <v>110.44444444444444</v>
      </c>
      <c r="AM49" s="7">
        <f t="shared" si="247"/>
        <v>105.25925925925927</v>
      </c>
      <c r="AN49" s="7">
        <f t="shared" si="247"/>
        <v>107.33333333333334</v>
      </c>
      <c r="AO49" s="7">
        <f t="shared" si="247"/>
        <v>108.37037037037035</v>
      </c>
      <c r="AP49" s="7">
        <f t="shared" si="247"/>
        <v>113.55555555555553</v>
      </c>
      <c r="AQ49" s="7">
        <f t="shared" si="247"/>
        <v>105.77777777777776</v>
      </c>
      <c r="AR49" s="7">
        <f t="shared" si="247"/>
        <v>112.51851851851852</v>
      </c>
      <c r="AS49" s="7">
        <f t="shared" si="247"/>
        <v>117.7037037037037</v>
      </c>
      <c r="AT49" s="7">
        <f t="shared" si="247"/>
        <v>121.33333333333333</v>
      </c>
      <c r="AU49" s="7">
        <f t="shared" si="247"/>
        <v>120.81481481481482</v>
      </c>
      <c r="AV49" s="7">
        <f t="shared" si="247"/>
        <v>122.37037037037035</v>
      </c>
      <c r="AW49" s="7">
        <f t="shared" si="247"/>
        <v>124.44444444444443</v>
      </c>
      <c r="AX49" s="7">
        <f t="shared" si="247"/>
        <v>136.88888888888889</v>
      </c>
      <c r="AY49" s="7">
        <f t="shared" si="247"/>
        <v>129.11111111111109</v>
      </c>
      <c r="AZ49" s="7">
        <f t="shared" si="247"/>
        <v>132.74074074074073</v>
      </c>
      <c r="BA49" s="7">
        <f t="shared" si="247"/>
        <v>133.77777777777777</v>
      </c>
      <c r="BB49" s="7">
        <f t="shared" si="247"/>
        <v>144.66666666666666</v>
      </c>
      <c r="BC49" s="7">
        <f t="shared" ref="BC49" si="248">BC39/AVERAGE(BB4,BC4)/3*1000</f>
        <v>149.85185185185185</v>
      </c>
      <c r="BD49" s="7">
        <f t="shared" ref="BD49" si="249">BD39/AVERAGE(BC4,BD4)/3*1000</f>
        <v>183.55555555555554</v>
      </c>
      <c r="BE49" s="7">
        <f t="shared" ref="BE49:BF49" si="250">BE39/AVERAGE(BD4,BE4)/3*1000</f>
        <v>194.96296296296293</v>
      </c>
      <c r="BF49" s="7">
        <f t="shared" si="250"/>
        <v>183.03703703703701</v>
      </c>
      <c r="BG49" s="7">
        <f t="shared" ref="BG49" si="251">BG39/AVERAGE(BF4,BG4)/3*1000</f>
        <v>183.03703703703704</v>
      </c>
      <c r="BH49" s="7">
        <f t="shared" ref="BH49" si="252">BH39/AVERAGE(BG4,BH4)/3*1000</f>
        <v>183.03703703703704</v>
      </c>
      <c r="BI49" s="7">
        <f t="shared" ref="BI49" si="253">BI39/AVERAGE(BH4,BI4)/3*1000</f>
        <v>183.03703703703704</v>
      </c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</row>
    <row r="50" spans="2:116">
      <c r="B50" s="2" t="s">
        <v>708</v>
      </c>
      <c r="C50" s="2"/>
      <c r="D50" s="2"/>
      <c r="E50" s="2"/>
      <c r="F50" s="2"/>
      <c r="G50" s="2"/>
      <c r="H50" s="2"/>
      <c r="I50" s="9">
        <f t="shared" ref="I50:BB50" si="254">(I45+I47)/AVERAGE(H4,I4)/3*1000</f>
        <v>24.926296296296297</v>
      </c>
      <c r="J50" s="9">
        <f t="shared" si="254"/>
        <v>25.971111111111107</v>
      </c>
      <c r="K50" s="9">
        <f t="shared" si="254"/>
        <v>25.374074074074066</v>
      </c>
      <c r="L50" s="9">
        <f t="shared" si="254"/>
        <v>25.523333333333333</v>
      </c>
      <c r="M50" s="9">
        <f t="shared" si="254"/>
        <v>26.568148148148147</v>
      </c>
      <c r="N50" s="9">
        <f t="shared" si="254"/>
        <v>28.209999999999994</v>
      </c>
      <c r="O50" s="9">
        <f t="shared" si="254"/>
        <v>28.657777777777781</v>
      </c>
      <c r="P50" s="9">
        <f t="shared" si="254"/>
        <v>27.911481481481484</v>
      </c>
      <c r="Q50" s="9">
        <f t="shared" si="254"/>
        <v>29.702592592592595</v>
      </c>
      <c r="R50" s="9">
        <f t="shared" si="254"/>
        <v>30.299629629629635</v>
      </c>
      <c r="S50" s="9">
        <f t="shared" si="254"/>
        <v>28.956296296296301</v>
      </c>
      <c r="T50" s="9">
        <f t="shared" si="254"/>
        <v>28.657777777777781</v>
      </c>
      <c r="U50" s="9">
        <f t="shared" si="254"/>
        <v>28.657777777777781</v>
      </c>
      <c r="V50" s="9">
        <f t="shared" si="254"/>
        <v>29.702592592592595</v>
      </c>
      <c r="W50" s="9">
        <f t="shared" si="254"/>
        <v>28.508518518518528</v>
      </c>
      <c r="X50" s="9">
        <f t="shared" si="254"/>
        <v>28.657777777777781</v>
      </c>
      <c r="Y50" s="9">
        <f t="shared" si="254"/>
        <v>29.105555555555554</v>
      </c>
      <c r="Z50" s="9">
        <f t="shared" si="254"/>
        <v>30.448888888888895</v>
      </c>
      <c r="AA50" s="9">
        <f t="shared" si="254"/>
        <v>28.807037037037045</v>
      </c>
      <c r="AB50" s="9">
        <f t="shared" si="254"/>
        <v>29.404074074074071</v>
      </c>
      <c r="AC50" s="9">
        <f t="shared" si="254"/>
        <v>28.807037037037034</v>
      </c>
      <c r="AD50" s="9">
        <f t="shared" si="254"/>
        <v>29.702592592592595</v>
      </c>
      <c r="AE50" s="9">
        <f t="shared" si="254"/>
        <v>27.911481481481484</v>
      </c>
      <c r="AF50" s="9">
        <f t="shared" si="254"/>
        <v>27.911481481481484</v>
      </c>
      <c r="AG50" s="9">
        <f t="shared" si="254"/>
        <v>28.060740740740744</v>
      </c>
      <c r="AH50" s="9">
        <f t="shared" si="254"/>
        <v>29.105555555555554</v>
      </c>
      <c r="AI50" s="9">
        <f t="shared" si="254"/>
        <v>28.060740740740748</v>
      </c>
      <c r="AJ50" s="9">
        <f t="shared" si="254"/>
        <v>27.762222222222228</v>
      </c>
      <c r="AK50" s="9">
        <f t="shared" si="254"/>
        <v>29.702592592592602</v>
      </c>
      <c r="AL50" s="9">
        <f t="shared" si="254"/>
        <v>31.792222222222215</v>
      </c>
      <c r="AM50" s="9">
        <f t="shared" si="254"/>
        <v>30.299629629629635</v>
      </c>
      <c r="AN50" s="9">
        <f t="shared" si="254"/>
        <v>30.896666666666672</v>
      </c>
      <c r="AO50" s="9">
        <f t="shared" si="254"/>
        <v>31.195185185185192</v>
      </c>
      <c r="AP50" s="9">
        <f t="shared" si="254"/>
        <v>32.687777777777775</v>
      </c>
      <c r="AQ50" s="9">
        <f t="shared" si="254"/>
        <v>30.448888888888892</v>
      </c>
      <c r="AR50" s="9">
        <f t="shared" si="254"/>
        <v>32.389259259259262</v>
      </c>
      <c r="AS50" s="9">
        <f t="shared" si="254"/>
        <v>33.881851851851849</v>
      </c>
      <c r="AT50" s="9">
        <f t="shared" si="254"/>
        <v>34.926666666666677</v>
      </c>
      <c r="AU50" s="9">
        <f t="shared" si="254"/>
        <v>34.777407407407416</v>
      </c>
      <c r="AV50" s="9">
        <f t="shared" si="254"/>
        <v>35.22518518518519</v>
      </c>
      <c r="AW50" s="9">
        <f t="shared" si="254"/>
        <v>35.822222222222223</v>
      </c>
      <c r="AX50" s="9">
        <f t="shared" si="254"/>
        <v>39.404444444444444</v>
      </c>
      <c r="AY50" s="9">
        <f t="shared" si="254"/>
        <v>37.165555555555571</v>
      </c>
      <c r="AZ50" s="9">
        <f t="shared" si="254"/>
        <v>38.210370370370377</v>
      </c>
      <c r="BA50" s="9">
        <f t="shared" si="254"/>
        <v>38.508888888888876</v>
      </c>
      <c r="BB50" s="9">
        <f t="shared" si="254"/>
        <v>41.643333333333338</v>
      </c>
      <c r="BC50" s="9">
        <f t="shared" ref="BC50" si="255">(BC45+BC47)/AVERAGE(BB4,BC4)/3*1000</f>
        <v>43.135925925925932</v>
      </c>
      <c r="BD50" s="9">
        <f t="shared" ref="BD50" si="256">(BD45+BD47)/AVERAGE(BC4,BD4)/3*1000</f>
        <v>52.837777777777781</v>
      </c>
      <c r="BE50" s="9">
        <f t="shared" ref="BE50:BF50" si="257">(BE45+BE47)/AVERAGE(BD4,BE4)/3*1000</f>
        <v>56.121481481481496</v>
      </c>
      <c r="BF50" s="9">
        <f t="shared" si="257"/>
        <v>52.688518518518521</v>
      </c>
      <c r="BG50" s="9">
        <f t="shared" ref="BG50" si="258">(BG45+BG47)/AVERAGE(BF4,BG4)/3*1000</f>
        <v>52.688518518518542</v>
      </c>
      <c r="BH50" s="9">
        <f t="shared" ref="BH50" si="259">(BH45+BH47)/AVERAGE(BG4,BH4)/3*1000</f>
        <v>52.688518518518521</v>
      </c>
      <c r="BI50" s="9">
        <f t="shared" ref="BI50" si="260">(BI45+BI47)/AVERAGE(BH4,BI4)/3*1000</f>
        <v>52.688518518518521</v>
      </c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</row>
    <row r="51" spans="2:116">
      <c r="B51" s="3" t="s">
        <v>710</v>
      </c>
      <c r="C51" s="3"/>
      <c r="D51" s="3"/>
      <c r="E51" s="3"/>
      <c r="F51" s="3"/>
      <c r="G51" s="3"/>
      <c r="H51" s="3"/>
      <c r="I51" s="7">
        <f t="shared" ref="I51:Y51" si="261">I49+I50</f>
        <v>111.51888888888887</v>
      </c>
      <c r="J51" s="7">
        <f t="shared" si="261"/>
        <v>116.19333333333333</v>
      </c>
      <c r="K51" s="7">
        <f t="shared" si="261"/>
        <v>113.52222222222221</v>
      </c>
      <c r="L51" s="7">
        <f t="shared" si="261"/>
        <v>114.19</v>
      </c>
      <c r="M51" s="7">
        <f t="shared" si="261"/>
        <v>118.86444444444442</v>
      </c>
      <c r="N51" s="7">
        <f t="shared" si="261"/>
        <v>126.20999999999998</v>
      </c>
      <c r="O51" s="7">
        <f t="shared" si="261"/>
        <v>128.21333333333334</v>
      </c>
      <c r="P51" s="7">
        <f t="shared" si="261"/>
        <v>124.87444444444445</v>
      </c>
      <c r="Q51" s="7">
        <f t="shared" si="261"/>
        <v>132.88777777777779</v>
      </c>
      <c r="R51" s="7">
        <f t="shared" si="261"/>
        <v>135.55888888888887</v>
      </c>
      <c r="S51" s="7">
        <f t="shared" si="261"/>
        <v>129.54888888888888</v>
      </c>
      <c r="T51" s="7">
        <f t="shared" si="261"/>
        <v>128.21333333333331</v>
      </c>
      <c r="U51" s="7">
        <f t="shared" si="261"/>
        <v>128.21333333333331</v>
      </c>
      <c r="V51" s="7">
        <f t="shared" si="261"/>
        <v>132.88777777777779</v>
      </c>
      <c r="W51" s="7">
        <f t="shared" si="261"/>
        <v>127.54555555555555</v>
      </c>
      <c r="X51" s="7">
        <f t="shared" si="261"/>
        <v>128.21333333333331</v>
      </c>
      <c r="Y51" s="7">
        <f t="shared" si="261"/>
        <v>130.21666666666664</v>
      </c>
      <c r="Z51" s="7">
        <f t="shared" ref="Z51:AE51" si="262">Z49+Z50</f>
        <v>136.22666666666666</v>
      </c>
      <c r="AA51" s="7">
        <f t="shared" si="262"/>
        <v>128.8811111111111</v>
      </c>
      <c r="AB51" s="7">
        <f t="shared" si="262"/>
        <v>131.55222222222221</v>
      </c>
      <c r="AC51" s="7">
        <f t="shared" si="262"/>
        <v>128.88111111111107</v>
      </c>
      <c r="AD51" s="7">
        <f t="shared" si="262"/>
        <v>132.88777777777779</v>
      </c>
      <c r="AE51" s="7">
        <f t="shared" si="262"/>
        <v>124.87444444444445</v>
      </c>
      <c r="AF51" s="7">
        <f t="shared" ref="AF51:AL51" si="263">AF49+AF50</f>
        <v>124.87444444444445</v>
      </c>
      <c r="AG51" s="7">
        <f t="shared" si="263"/>
        <v>125.54222222222224</v>
      </c>
      <c r="AH51" s="7">
        <f t="shared" si="263"/>
        <v>130.21666666666667</v>
      </c>
      <c r="AI51" s="7">
        <f t="shared" si="263"/>
        <v>125.54222222222222</v>
      </c>
      <c r="AJ51" s="7">
        <f t="shared" si="263"/>
        <v>124.20666666666668</v>
      </c>
      <c r="AK51" s="7">
        <f t="shared" si="263"/>
        <v>132.88777777777779</v>
      </c>
      <c r="AL51" s="7">
        <f t="shared" si="263"/>
        <v>142.23666666666665</v>
      </c>
      <c r="AM51" s="7">
        <f t="shared" ref="AM51:AN51" si="264">AM49+AM50</f>
        <v>135.5588888888889</v>
      </c>
      <c r="AN51" s="7">
        <f t="shared" si="264"/>
        <v>138.23000000000002</v>
      </c>
      <c r="AO51" s="7">
        <f t="shared" ref="AO51:AP51" si="265">AO49+AO50</f>
        <v>139.56555555555553</v>
      </c>
      <c r="AP51" s="7">
        <f t="shared" si="265"/>
        <v>146.24333333333331</v>
      </c>
      <c r="AQ51" s="7">
        <f t="shared" ref="AQ51:AR51" si="266">AQ49+AQ50</f>
        <v>136.22666666666666</v>
      </c>
      <c r="AR51" s="7">
        <f t="shared" si="266"/>
        <v>144.90777777777777</v>
      </c>
      <c r="AS51" s="7">
        <f t="shared" ref="AS51:AT51" si="267">AS49+AS50</f>
        <v>151.58555555555554</v>
      </c>
      <c r="AT51" s="7">
        <f t="shared" si="267"/>
        <v>156.26</v>
      </c>
      <c r="AU51" s="7">
        <f t="shared" ref="AU51:AV51" si="268">AU49+AU50</f>
        <v>155.59222222222223</v>
      </c>
      <c r="AV51" s="7">
        <f t="shared" si="268"/>
        <v>157.59555555555553</v>
      </c>
      <c r="AW51" s="7">
        <f t="shared" ref="AW51:AX51" si="269">AW49+AW50</f>
        <v>160.26666666666665</v>
      </c>
      <c r="AX51" s="7">
        <f t="shared" si="269"/>
        <v>176.29333333333332</v>
      </c>
      <c r="AY51" s="7">
        <f t="shared" ref="AY51:AZ51" si="270">AY49+AY50</f>
        <v>166.27666666666664</v>
      </c>
      <c r="AZ51" s="7">
        <f t="shared" si="270"/>
        <v>170.95111111111112</v>
      </c>
      <c r="BA51" s="7">
        <f t="shared" ref="BA51:BB51" si="271">BA49+BA50</f>
        <v>172.28666666666663</v>
      </c>
      <c r="BB51" s="7">
        <f t="shared" si="271"/>
        <v>186.31</v>
      </c>
      <c r="BC51" s="7">
        <f t="shared" ref="BC51:BE51" si="272">BC49+BC50</f>
        <v>192.98777777777778</v>
      </c>
      <c r="BD51" s="7">
        <f t="shared" si="272"/>
        <v>236.39333333333332</v>
      </c>
      <c r="BE51" s="7">
        <f t="shared" si="272"/>
        <v>251.08444444444444</v>
      </c>
      <c r="BF51" s="7">
        <f t="shared" ref="BF51:BI51" si="273">BF49+BF50</f>
        <v>235.72555555555553</v>
      </c>
      <c r="BG51" s="7">
        <f t="shared" si="273"/>
        <v>235.72555555555559</v>
      </c>
      <c r="BH51" s="7">
        <f t="shared" si="273"/>
        <v>235.72555555555556</v>
      </c>
      <c r="BI51" s="7">
        <f t="shared" si="273"/>
        <v>235.72555555555556</v>
      </c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</row>
    <row r="52" spans="2:116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5"/>
      <c r="N52" s="5"/>
      <c r="O52" s="5"/>
      <c r="P52" s="5"/>
      <c r="Q52" s="5"/>
      <c r="R52" s="5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</row>
    <row r="53" spans="2:116">
      <c r="B53" s="3" t="s">
        <v>320</v>
      </c>
      <c r="C53" s="5"/>
      <c r="D53" s="5"/>
      <c r="E53" s="5"/>
      <c r="F53" s="5"/>
      <c r="G53" s="5"/>
      <c r="H53" s="5"/>
      <c r="I53" s="5">
        <v>0.33</v>
      </c>
      <c r="J53" s="5">
        <v>0.33</v>
      </c>
      <c r="K53" s="5">
        <v>0.33</v>
      </c>
      <c r="L53" s="5">
        <v>0.33</v>
      </c>
      <c r="M53" s="5">
        <v>0.33</v>
      </c>
      <c r="N53" s="5">
        <v>0.33</v>
      </c>
      <c r="O53" s="5">
        <v>0.33</v>
      </c>
      <c r="P53" s="5">
        <v>0.33</v>
      </c>
      <c r="Q53" s="5">
        <v>0.33</v>
      </c>
      <c r="R53" s="5">
        <v>0.33</v>
      </c>
      <c r="S53" s="5">
        <v>0.33</v>
      </c>
      <c r="T53" s="5">
        <v>0.33</v>
      </c>
      <c r="U53" s="5">
        <v>0.33</v>
      </c>
      <c r="V53" s="5">
        <v>0.33</v>
      </c>
      <c r="W53" s="5">
        <v>0.33</v>
      </c>
      <c r="X53" s="5">
        <v>0.33</v>
      </c>
      <c r="Y53" s="5">
        <v>0.33</v>
      </c>
      <c r="Z53" s="5">
        <v>0.33</v>
      </c>
      <c r="AA53" s="5">
        <v>0.33</v>
      </c>
      <c r="AB53" s="5">
        <v>0.33</v>
      </c>
      <c r="AC53" s="5">
        <v>0.33</v>
      </c>
      <c r="AD53" s="5">
        <v>0.33</v>
      </c>
      <c r="AE53" s="5">
        <v>0.33</v>
      </c>
      <c r="AF53" s="5">
        <v>0.33</v>
      </c>
      <c r="AG53" s="5">
        <v>0.33</v>
      </c>
      <c r="AH53" s="5">
        <v>0.33</v>
      </c>
      <c r="AI53" s="5">
        <v>0.33</v>
      </c>
      <c r="AJ53" s="5">
        <v>0.33</v>
      </c>
      <c r="AK53" s="5">
        <v>0.33</v>
      </c>
      <c r="AL53" s="5">
        <v>0.33</v>
      </c>
      <c r="AM53" s="5">
        <v>0.33</v>
      </c>
      <c r="AN53" s="5">
        <v>0.33</v>
      </c>
      <c r="AO53" s="5">
        <v>0.33</v>
      </c>
      <c r="AP53" s="5">
        <v>0.33</v>
      </c>
      <c r="AQ53" s="5">
        <v>0.33</v>
      </c>
      <c r="AR53" s="5">
        <v>0.33</v>
      </c>
      <c r="AS53" s="5">
        <v>0.33</v>
      </c>
      <c r="AT53" s="5">
        <v>0.33</v>
      </c>
      <c r="AU53" s="5">
        <v>0.33</v>
      </c>
      <c r="AV53" s="5">
        <v>0.33</v>
      </c>
      <c r="AW53" s="5">
        <v>0.33</v>
      </c>
      <c r="AX53" s="5">
        <v>0.33</v>
      </c>
      <c r="AY53" s="5">
        <v>0.33</v>
      </c>
      <c r="AZ53" s="5">
        <v>0.33</v>
      </c>
      <c r="BA53" s="5">
        <v>0.33</v>
      </c>
      <c r="BB53" s="5">
        <v>0.33</v>
      </c>
      <c r="BC53" s="5">
        <v>0.33</v>
      </c>
      <c r="BD53" s="5">
        <v>0.33</v>
      </c>
      <c r="BE53" s="5">
        <v>0.33</v>
      </c>
      <c r="BF53" s="5">
        <v>0.33</v>
      </c>
      <c r="BG53" s="97">
        <v>0.33</v>
      </c>
      <c r="BH53" s="97">
        <v>0.33</v>
      </c>
      <c r="BI53" s="97">
        <v>0.33</v>
      </c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</row>
    <row r="54" spans="2:116">
      <c r="B54" s="3" t="s">
        <v>321</v>
      </c>
      <c r="C54" s="7"/>
      <c r="D54" s="7"/>
      <c r="E54" s="7"/>
      <c r="F54" s="7"/>
      <c r="G54" s="7"/>
      <c r="H54" s="7"/>
      <c r="I54" s="7">
        <f t="shared" ref="I54:Z54" si="274">I35*(1-I53)</f>
        <v>111.88999999999999</v>
      </c>
      <c r="J54" s="7">
        <f t="shared" si="274"/>
        <v>116.57999999999998</v>
      </c>
      <c r="K54" s="7">
        <f t="shared" si="274"/>
        <v>113.89999999999999</v>
      </c>
      <c r="L54" s="7">
        <f t="shared" si="274"/>
        <v>114.57</v>
      </c>
      <c r="M54" s="7">
        <f t="shared" si="274"/>
        <v>119.25999999999999</v>
      </c>
      <c r="N54" s="7">
        <f t="shared" si="274"/>
        <v>126.62999999999998</v>
      </c>
      <c r="O54" s="7">
        <f t="shared" si="274"/>
        <v>128.63999999999999</v>
      </c>
      <c r="P54" s="7">
        <f t="shared" si="274"/>
        <v>125.28999999999999</v>
      </c>
      <c r="Q54" s="7">
        <f t="shared" si="274"/>
        <v>133.32999999999998</v>
      </c>
      <c r="R54" s="7">
        <f t="shared" si="274"/>
        <v>136.01</v>
      </c>
      <c r="S54" s="7">
        <f t="shared" si="274"/>
        <v>129.97999999999999</v>
      </c>
      <c r="T54" s="7">
        <f t="shared" si="274"/>
        <v>128.63999999999999</v>
      </c>
      <c r="U54" s="7">
        <f t="shared" si="274"/>
        <v>128.63999999999999</v>
      </c>
      <c r="V54" s="7">
        <f t="shared" si="274"/>
        <v>133.32999999999998</v>
      </c>
      <c r="W54" s="7">
        <f t="shared" si="274"/>
        <v>127.96999999999998</v>
      </c>
      <c r="X54" s="7">
        <f t="shared" si="274"/>
        <v>128.63999999999999</v>
      </c>
      <c r="Y54" s="7">
        <f t="shared" si="274"/>
        <v>130.64999999999998</v>
      </c>
      <c r="Z54" s="7">
        <f t="shared" si="274"/>
        <v>136.67999999999998</v>
      </c>
      <c r="AA54" s="7">
        <f>AA35*(1-AA53)</f>
        <v>129.30999999999997</v>
      </c>
      <c r="AB54" s="7">
        <f t="shared" ref="AB54:AG54" si="275">AB35*(1-AB53)</f>
        <v>131.98999999999998</v>
      </c>
      <c r="AC54" s="7">
        <f t="shared" si="275"/>
        <v>129.30999999999997</v>
      </c>
      <c r="AD54" s="7">
        <f t="shared" si="275"/>
        <v>133.32999999999998</v>
      </c>
      <c r="AE54" s="7">
        <f t="shared" si="275"/>
        <v>125.28999999999999</v>
      </c>
      <c r="AF54" s="7">
        <f t="shared" si="275"/>
        <v>125.28999999999999</v>
      </c>
      <c r="AG54" s="7">
        <f t="shared" si="275"/>
        <v>125.95999999999998</v>
      </c>
      <c r="AH54" s="7">
        <f t="shared" ref="AH54:AM54" si="276">AH35*(1-AH53)</f>
        <v>130.64999999999998</v>
      </c>
      <c r="AI54" s="7">
        <f t="shared" si="276"/>
        <v>125.95999999999998</v>
      </c>
      <c r="AJ54" s="7">
        <f t="shared" si="276"/>
        <v>124.61999999999999</v>
      </c>
      <c r="AK54" s="7">
        <f t="shared" si="276"/>
        <v>133.32999999999998</v>
      </c>
      <c r="AL54" s="7">
        <f t="shared" si="276"/>
        <v>142.70999999999998</v>
      </c>
      <c r="AM54" s="7">
        <f t="shared" si="276"/>
        <v>136.01</v>
      </c>
      <c r="AN54" s="7">
        <f t="shared" ref="AN54:AO54" si="277">AN35*(1-AN53)</f>
        <v>138.69</v>
      </c>
      <c r="AO54" s="7">
        <f t="shared" si="277"/>
        <v>140.02999999999997</v>
      </c>
      <c r="AP54" s="7">
        <f t="shared" ref="AP54:AQ54" si="278">AP35*(1-AP53)</f>
        <v>146.72999999999999</v>
      </c>
      <c r="AQ54" s="7">
        <f t="shared" si="278"/>
        <v>136.67999999999998</v>
      </c>
      <c r="AR54" s="7">
        <f t="shared" ref="AR54:AS54" si="279">AR35*(1-AR53)</f>
        <v>145.38999999999999</v>
      </c>
      <c r="AS54" s="7">
        <f t="shared" si="279"/>
        <v>152.08999999999997</v>
      </c>
      <c r="AT54" s="7">
        <f t="shared" ref="AT54:AU54" si="280">AT35*(1-AT53)</f>
        <v>156.77999999999997</v>
      </c>
      <c r="AU54" s="7">
        <f t="shared" si="280"/>
        <v>156.10999999999999</v>
      </c>
      <c r="AV54" s="7">
        <f t="shared" ref="AV54:AW54" si="281">AV35*(1-AV53)</f>
        <v>158.11999999999998</v>
      </c>
      <c r="AW54" s="7">
        <f t="shared" si="281"/>
        <v>160.79999999999998</v>
      </c>
      <c r="AX54" s="7">
        <f t="shared" ref="AX54:AY54" si="282">AX35*(1-AX53)</f>
        <v>176.88</v>
      </c>
      <c r="AY54" s="7">
        <f t="shared" si="282"/>
        <v>166.82999999999998</v>
      </c>
      <c r="AZ54" s="7">
        <f t="shared" ref="AZ54:BA54" si="283">AZ35*(1-AZ53)</f>
        <v>171.51999999999998</v>
      </c>
      <c r="BA54" s="7">
        <f t="shared" si="283"/>
        <v>172.85999999999999</v>
      </c>
      <c r="BB54" s="7">
        <f t="shared" ref="BB54:BE54" si="284">BB35*(1-BB53)</f>
        <v>186.92999999999998</v>
      </c>
      <c r="BC54" s="7">
        <f t="shared" si="284"/>
        <v>193.62999999999997</v>
      </c>
      <c r="BD54" s="7">
        <f t="shared" si="284"/>
        <v>237.17999999999998</v>
      </c>
      <c r="BE54" s="7">
        <f t="shared" si="284"/>
        <v>251.91999999999996</v>
      </c>
      <c r="BF54" s="7">
        <f t="shared" ref="BF54:BI54" si="285">BF35*(1-BF53)</f>
        <v>236.50999999999996</v>
      </c>
      <c r="BG54" s="7">
        <f t="shared" si="285"/>
        <v>236.50999999999996</v>
      </c>
      <c r="BH54" s="7">
        <f t="shared" si="285"/>
        <v>236.50999999999996</v>
      </c>
      <c r="BI54" s="7">
        <f t="shared" si="285"/>
        <v>236.50999999999996</v>
      </c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</row>
    <row r="55" spans="2:116">
      <c r="B55" s="3" t="s">
        <v>711</v>
      </c>
      <c r="C55" s="7"/>
      <c r="D55" s="7"/>
      <c r="E55" s="7"/>
      <c r="F55" s="7"/>
      <c r="G55" s="7"/>
      <c r="H55" s="7"/>
      <c r="I55" s="7">
        <f t="shared" ref="I55:BB55" si="286">I22/AVERAGE(H4,I4)/3*1000</f>
        <v>9029.0385219452291</v>
      </c>
      <c r="J55" s="7">
        <f t="shared" si="286"/>
        <v>9886.1401732478334</v>
      </c>
      <c r="K55" s="7">
        <f t="shared" si="286"/>
        <v>8682.2445561139029</v>
      </c>
      <c r="L55" s="7">
        <f t="shared" si="286"/>
        <v>7763.4712411705341</v>
      </c>
      <c r="M55" s="7">
        <f t="shared" si="286"/>
        <v>7803.3612053977986</v>
      </c>
      <c r="N55" s="7">
        <f t="shared" si="286"/>
        <v>7887.3771490635509</v>
      </c>
      <c r="O55" s="7">
        <f t="shared" si="286"/>
        <v>7659.7031701024343</v>
      </c>
      <c r="P55" s="7">
        <f t="shared" si="286"/>
        <v>7760.2671451355654</v>
      </c>
      <c r="Q55" s="7">
        <f t="shared" si="286"/>
        <v>7530.5866938418976</v>
      </c>
      <c r="R55" s="7">
        <f t="shared" si="286"/>
        <v>7855.7453059725476</v>
      </c>
      <c r="S55" s="7">
        <f t="shared" si="286"/>
        <v>7293.3761932593025</v>
      </c>
      <c r="T55" s="7">
        <f t="shared" si="286"/>
        <v>6972.6214878770943</v>
      </c>
      <c r="U55" s="7">
        <f t="shared" si="286"/>
        <v>6842.0146106788616</v>
      </c>
      <c r="V55" s="7">
        <f t="shared" si="286"/>
        <v>6993.6833408442235</v>
      </c>
      <c r="W55" s="7">
        <f t="shared" si="286"/>
        <v>6852.1543147923167</v>
      </c>
      <c r="X55" s="7">
        <f t="shared" si="286"/>
        <v>6581.8177171190509</v>
      </c>
      <c r="Y55" s="7">
        <f t="shared" si="286"/>
        <v>6594.5360737545461</v>
      </c>
      <c r="Z55" s="7">
        <f t="shared" si="286"/>
        <v>7020.364072814562</v>
      </c>
      <c r="AA55" s="7">
        <f t="shared" si="286"/>
        <v>6839.8800994779058</v>
      </c>
      <c r="AB55" s="7">
        <f t="shared" si="286"/>
        <v>6899.052974252736</v>
      </c>
      <c r="AC55" s="7">
        <f t="shared" si="286"/>
        <v>6916.495013895701</v>
      </c>
      <c r="AD55" s="7">
        <f t="shared" si="286"/>
        <v>7135.9093400393331</v>
      </c>
      <c r="AE55" s="7">
        <f t="shared" si="286"/>
        <v>6186.2524998387207</v>
      </c>
      <c r="AF55" s="7">
        <f t="shared" si="286"/>
        <v>5748.1688392302922</v>
      </c>
      <c r="AG55" s="7">
        <f t="shared" si="286"/>
        <v>5608.3801821349898</v>
      </c>
      <c r="AH55" s="7">
        <f t="shared" si="286"/>
        <v>6153.8117146532095</v>
      </c>
      <c r="AI55" s="7">
        <f t="shared" si="286"/>
        <v>5254.0090161760818</v>
      </c>
      <c r="AJ55" s="7">
        <f t="shared" si="286"/>
        <v>4993.1088449043837</v>
      </c>
      <c r="AK55" s="7">
        <f t="shared" si="286"/>
        <v>4671.7597530361618</v>
      </c>
      <c r="AL55" s="7">
        <f t="shared" si="286"/>
        <v>5449.3258561234588</v>
      </c>
      <c r="AM55" s="7">
        <f t="shared" si="286"/>
        <v>3348.7151163776302</v>
      </c>
      <c r="AN55" s="7">
        <f t="shared" si="286"/>
        <v>2964.9303152486441</v>
      </c>
      <c r="AO55" s="7">
        <f t="shared" si="286"/>
        <v>2760.937293729372</v>
      </c>
      <c r="AP55" s="7">
        <f t="shared" si="286"/>
        <v>2851.901752354891</v>
      </c>
      <c r="AQ55" s="7">
        <f t="shared" si="286"/>
        <v>3600.6966973317813</v>
      </c>
      <c r="AR55" s="7">
        <f t="shared" si="286"/>
        <v>3885.9642596644794</v>
      </c>
      <c r="AS55" s="7">
        <f t="shared" si="286"/>
        <v>3659.5649013499478</v>
      </c>
      <c r="AT55" s="7">
        <f t="shared" si="286"/>
        <v>4116.5527046290035</v>
      </c>
      <c r="AU55" s="7">
        <f t="shared" si="286"/>
        <v>3449.7548305873333</v>
      </c>
      <c r="AV55" s="7">
        <f t="shared" si="286"/>
        <v>9165</v>
      </c>
      <c r="AW55" s="7">
        <f t="shared" si="286"/>
        <v>8911</v>
      </c>
      <c r="AX55" s="7">
        <f t="shared" si="286"/>
        <v>9481</v>
      </c>
      <c r="AY55" s="7">
        <f t="shared" si="286"/>
        <v>7049</v>
      </c>
      <c r="AZ55" s="7">
        <f t="shared" si="286"/>
        <v>6767</v>
      </c>
      <c r="BA55" s="7">
        <f t="shared" si="286"/>
        <v>6893</v>
      </c>
      <c r="BB55" s="7">
        <f t="shared" si="286"/>
        <v>6954.9999999999991</v>
      </c>
      <c r="BC55" s="7">
        <f t="shared" ref="BC55" si="287">BC22/AVERAGE(BB4,BC4)/3*1000</f>
        <v>7338</v>
      </c>
      <c r="BD55" s="7">
        <f t="shared" ref="BD55" si="288">BD22/AVERAGE(BC4,BD4)/3*1000</f>
        <v>7168</v>
      </c>
      <c r="BE55" s="7">
        <f t="shared" ref="BE55:BF55" si="289">BE22/AVERAGE(BD4,BE4)/3*1000</f>
        <v>7362.0000000000009</v>
      </c>
      <c r="BF55" s="7">
        <f t="shared" si="289"/>
        <v>7483.0000000000009</v>
      </c>
      <c r="BG55" s="7">
        <f t="shared" ref="BG55" si="290">BG22/AVERAGE(BF4,BG4)/3*1000</f>
        <v>7395.0000000000009</v>
      </c>
      <c r="BH55" s="7">
        <f t="shared" ref="BH55" si="291">BH22/AVERAGE(BG4,BH4)/3*1000</f>
        <v>7472</v>
      </c>
      <c r="BI55" s="7">
        <f t="shared" ref="BI55" si="292">BI22/AVERAGE(BH4,BI4)/3*1000</f>
        <v>7332</v>
      </c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8">
        <f t="shared" ref="BZ55:CI56" si="293">O55/K55-1</f>
        <v>-0.11777385207278124</v>
      </c>
      <c r="CA55" s="8">
        <f t="shared" si="293"/>
        <v>-4.1271435617318275E-4</v>
      </c>
      <c r="CB55" s="8">
        <f t="shared" si="293"/>
        <v>-3.4956027841850479E-2</v>
      </c>
      <c r="CC55" s="8">
        <f t="shared" si="293"/>
        <v>-4.0104387673104425E-3</v>
      </c>
      <c r="CD55" s="8">
        <f t="shared" si="293"/>
        <v>-4.7825218380914469E-2</v>
      </c>
      <c r="CE55" s="8">
        <f t="shared" si="293"/>
        <v>-0.10149723489251239</v>
      </c>
      <c r="CF55" s="8">
        <f t="shared" si="293"/>
        <v>-9.1436711528214976E-2</v>
      </c>
      <c r="CG55" s="8">
        <f t="shared" si="293"/>
        <v>-0.10973649622689752</v>
      </c>
      <c r="CH55" s="8">
        <f t="shared" si="293"/>
        <v>-6.0496245740727428E-2</v>
      </c>
      <c r="CI55" s="8">
        <f t="shared" si="293"/>
        <v>-5.6048327223485739E-2</v>
      </c>
      <c r="CJ55" s="8">
        <f t="shared" ref="CJ55:CS56" si="294">Y55/U55-1</f>
        <v>-3.6170419241440488E-2</v>
      </c>
      <c r="CK55" s="8">
        <f t="shared" si="294"/>
        <v>3.8149756959282577E-3</v>
      </c>
      <c r="CL55" s="8">
        <f t="shared" si="294"/>
        <v>-1.791292891333951E-3</v>
      </c>
      <c r="CM55" s="8">
        <f t="shared" si="294"/>
        <v>4.8198730315573535E-2</v>
      </c>
      <c r="CN55" s="8">
        <f t="shared" si="294"/>
        <v>4.8822075812506638E-2</v>
      </c>
      <c r="CO55" s="8">
        <f t="shared" si="294"/>
        <v>1.6458586196719471E-2</v>
      </c>
      <c r="CP55" s="8">
        <f t="shared" si="294"/>
        <v>-9.5561265714157351E-2</v>
      </c>
      <c r="CQ55" s="8">
        <f t="shared" si="294"/>
        <v>-0.16681769792427215</v>
      </c>
      <c r="CR55" s="8">
        <f t="shared" si="294"/>
        <v>-0.18912972960041485</v>
      </c>
      <c r="CS55" s="8">
        <f t="shared" si="294"/>
        <v>-0.1376275368123876</v>
      </c>
      <c r="CT55" s="8">
        <f t="shared" ref="CT55:DC56" si="295">AI55/AE55-1</f>
        <v>-0.15069599627350205</v>
      </c>
      <c r="CU55" s="8">
        <f t="shared" si="295"/>
        <v>-0.13135661380938402</v>
      </c>
      <c r="CV55" s="8">
        <f t="shared" si="295"/>
        <v>-0.16700373346342523</v>
      </c>
      <c r="CW55" s="8">
        <f t="shared" si="295"/>
        <v>-0.1144795926811113</v>
      </c>
      <c r="CX55" s="8">
        <f t="shared" si="295"/>
        <v>-0.36263620673897179</v>
      </c>
      <c r="CY55" s="8">
        <f t="shared" si="295"/>
        <v>-0.40619553722037449</v>
      </c>
      <c r="CZ55" s="8">
        <f t="shared" si="295"/>
        <v>-0.4090155659363589</v>
      </c>
      <c r="DA55" s="8">
        <f t="shared" si="295"/>
        <v>-0.4766505384973112</v>
      </c>
      <c r="DB55" s="8">
        <f t="shared" si="295"/>
        <v>7.5247243255115892E-2</v>
      </c>
      <c r="DC55" s="8">
        <f t="shared" si="295"/>
        <v>0.3106426952697523</v>
      </c>
      <c r="DD55" s="8">
        <f t="shared" ref="DD55:DK56" si="296">AS55/AO55-1</f>
        <v>0.32547918044409574</v>
      </c>
      <c r="DE55" s="8">
        <f t="shared" si="296"/>
        <v>0.4434412760642461</v>
      </c>
      <c r="DF55" s="8">
        <f t="shared" si="296"/>
        <v>-4.1920183628990526E-2</v>
      </c>
      <c r="DG55" s="8">
        <f t="shared" si="296"/>
        <v>1.3584879807389996</v>
      </c>
      <c r="DH55" s="8">
        <f t="shared" si="296"/>
        <v>1.4349889236047959</v>
      </c>
      <c r="DI55" s="8">
        <f t="shared" si="296"/>
        <v>1.3031406811186343</v>
      </c>
      <c r="DJ55" s="8">
        <f t="shared" si="296"/>
        <v>1.0433336124352586</v>
      </c>
      <c r="DK55" s="8">
        <f t="shared" si="296"/>
        <v>-0.26164757228587021</v>
      </c>
      <c r="DL55" s="8"/>
    </row>
    <row r="56" spans="2:116">
      <c r="B56" s="3" t="s">
        <v>372</v>
      </c>
      <c r="C56" s="11"/>
      <c r="D56" s="11"/>
      <c r="E56" s="11"/>
      <c r="F56" s="11"/>
      <c r="G56" s="11"/>
      <c r="H56" s="11"/>
      <c r="I56" s="11">
        <f t="shared" ref="I56:Y56" si="297">I55/I51</f>
        <v>80.964208053949079</v>
      </c>
      <c r="J56" s="11">
        <f t="shared" si="297"/>
        <v>85.083540420401349</v>
      </c>
      <c r="K56" s="11">
        <f t="shared" si="297"/>
        <v>76.480572580038299</v>
      </c>
      <c r="L56" s="11">
        <f t="shared" si="297"/>
        <v>67.987312734657451</v>
      </c>
      <c r="M56" s="11">
        <f t="shared" si="297"/>
        <v>65.649246432519021</v>
      </c>
      <c r="N56" s="11">
        <f t="shared" si="297"/>
        <v>62.494074550856126</v>
      </c>
      <c r="O56" s="11">
        <f t="shared" si="297"/>
        <v>59.741861247679132</v>
      </c>
      <c r="P56" s="11">
        <f t="shared" si="297"/>
        <v>62.144557917036742</v>
      </c>
      <c r="Q56" s="11">
        <f t="shared" si="297"/>
        <v>56.668768338010416</v>
      </c>
      <c r="R56" s="11">
        <f t="shared" si="297"/>
        <v>57.950794450753619</v>
      </c>
      <c r="S56" s="11">
        <f t="shared" si="297"/>
        <v>56.298253545923224</v>
      </c>
      <c r="T56" s="11">
        <f t="shared" si="297"/>
        <v>54.38296709554723</v>
      </c>
      <c r="U56" s="11">
        <f t="shared" si="297"/>
        <v>53.364298648181645</v>
      </c>
      <c r="V56" s="11">
        <f t="shared" si="297"/>
        <v>52.628491933542932</v>
      </c>
      <c r="W56" s="11">
        <f t="shared" si="297"/>
        <v>53.723191568268291</v>
      </c>
      <c r="X56" s="11">
        <f t="shared" si="297"/>
        <v>51.334892760391945</v>
      </c>
      <c r="Y56" s="11">
        <f t="shared" si="297"/>
        <v>50.642795907496847</v>
      </c>
      <c r="Z56" s="11">
        <f t="shared" ref="Z56:AE56" si="298">Z55/Z51</f>
        <v>51.534433342575333</v>
      </c>
      <c r="AA56" s="11">
        <f t="shared" si="298"/>
        <v>53.071237829266558</v>
      </c>
      <c r="AB56" s="11">
        <f t="shared" si="298"/>
        <v>52.443454452625176</v>
      </c>
      <c r="AC56" s="11">
        <f t="shared" si="298"/>
        <v>53.665699762107479</v>
      </c>
      <c r="AD56" s="11">
        <f t="shared" si="298"/>
        <v>53.698763418050312</v>
      </c>
      <c r="AE56" s="11">
        <f t="shared" si="298"/>
        <v>49.539779955465029</v>
      </c>
      <c r="AF56" s="11">
        <f t="shared" ref="AF56:AL56" si="299">AF55/AF51</f>
        <v>46.031586885558497</v>
      </c>
      <c r="AG56" s="11">
        <f t="shared" si="299"/>
        <v>44.673258787849065</v>
      </c>
      <c r="AH56" s="11">
        <f t="shared" si="299"/>
        <v>47.258249440572449</v>
      </c>
      <c r="AI56" s="11">
        <f t="shared" si="299"/>
        <v>41.85053381384283</v>
      </c>
      <c r="AJ56" s="11">
        <f t="shared" si="299"/>
        <v>40.200006802407678</v>
      </c>
      <c r="AK56" s="11">
        <f t="shared" si="299"/>
        <v>35.155676700746206</v>
      </c>
      <c r="AL56" s="11">
        <f t="shared" si="299"/>
        <v>38.311681395726318</v>
      </c>
      <c r="AM56" s="11">
        <f t="shared" ref="AM56:AN56" si="300">AM55/AM51</f>
        <v>24.703028652900887</v>
      </c>
      <c r="AN56" s="11">
        <f t="shared" si="300"/>
        <v>21.449253528529578</v>
      </c>
      <c r="AO56" s="11">
        <f t="shared" ref="AO56:AP56" si="301">AO55/AO51</f>
        <v>19.782368813989724</v>
      </c>
      <c r="AP56" s="11">
        <f t="shared" si="301"/>
        <v>19.501071859833324</v>
      </c>
      <c r="AQ56" s="11">
        <f t="shared" ref="AQ56:AR56" si="302">AQ55/AQ51</f>
        <v>26.431658246049096</v>
      </c>
      <c r="AR56" s="11">
        <f t="shared" si="302"/>
        <v>26.816809416702053</v>
      </c>
      <c r="AS56" s="11">
        <f t="shared" ref="AS56:AT56" si="303">AS55/AS51</f>
        <v>24.141910407873464</v>
      </c>
      <c r="AT56" s="11">
        <f t="shared" si="303"/>
        <v>26.344251277543862</v>
      </c>
      <c r="AU56" s="11">
        <f t="shared" ref="AU56:AV56" si="304">AU55/AU51</f>
        <v>22.171769136764905</v>
      </c>
      <c r="AV56" s="11">
        <f t="shared" si="304"/>
        <v>58.155193321864694</v>
      </c>
      <c r="AW56" s="11">
        <f t="shared" ref="AW56:AX56" si="305">AW55/AW51</f>
        <v>55.601081530782032</v>
      </c>
      <c r="AX56" s="11">
        <f t="shared" si="305"/>
        <v>53.779685372863412</v>
      </c>
      <c r="AY56" s="11">
        <f t="shared" ref="AY56:AZ56" si="306">AY55/AY51</f>
        <v>42.393200088206406</v>
      </c>
      <c r="AZ56" s="11">
        <f t="shared" si="306"/>
        <v>39.584416597337771</v>
      </c>
      <c r="BA56" s="11">
        <f t="shared" ref="BA56:BB56" si="307">BA55/BA51</f>
        <v>40.008899895522973</v>
      </c>
      <c r="BB56" s="11">
        <f t="shared" si="307"/>
        <v>37.33025602490472</v>
      </c>
      <c r="BC56" s="11">
        <f t="shared" ref="BC56:BE56" si="308">BC55/BC51</f>
        <v>38.023133301475625</v>
      </c>
      <c r="BD56" s="11">
        <f t="shared" si="308"/>
        <v>30.322344115739305</v>
      </c>
      <c r="BE56" s="11">
        <f t="shared" si="308"/>
        <v>29.320812829681032</v>
      </c>
      <c r="BF56" s="11">
        <f t="shared" ref="BF56:BI56" si="309">BF55/BF51</f>
        <v>31.744542853506676</v>
      </c>
      <c r="BG56" s="11">
        <f t="shared" si="309"/>
        <v>31.371227368927141</v>
      </c>
      <c r="BH56" s="11">
        <f t="shared" si="309"/>
        <v>31.697878417934227</v>
      </c>
      <c r="BI56" s="11">
        <f t="shared" si="309"/>
        <v>31.103967419739526</v>
      </c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8">
        <f t="shared" si="293"/>
        <v>-0.21886226485610838</v>
      </c>
      <c r="CA56" s="8">
        <f t="shared" si="293"/>
        <v>-8.5938899224094256E-2</v>
      </c>
      <c r="CB56" s="8">
        <f t="shared" si="293"/>
        <v>-0.13679483897411759</v>
      </c>
      <c r="CC56" s="8">
        <f t="shared" si="293"/>
        <v>-7.2699374024737362E-2</v>
      </c>
      <c r="CD56" s="8">
        <f t="shared" si="293"/>
        <v>-5.7641453242966878E-2</v>
      </c>
      <c r="CE56" s="8">
        <f t="shared" si="293"/>
        <v>-0.12489574440051965</v>
      </c>
      <c r="CF56" s="8">
        <f t="shared" si="293"/>
        <v>-5.8312008302681018E-2</v>
      </c>
      <c r="CG56" s="8">
        <f t="shared" si="293"/>
        <v>-9.1841752432463397E-2</v>
      </c>
      <c r="CH56" s="8">
        <f t="shared" si="293"/>
        <v>-4.5739642270686498E-2</v>
      </c>
      <c r="CI56" s="8">
        <f t="shared" si="293"/>
        <v>-5.6048327223485628E-2</v>
      </c>
      <c r="CJ56" s="8">
        <f t="shared" si="294"/>
        <v>-5.0998566637725951E-2</v>
      </c>
      <c r="CK56" s="8">
        <f t="shared" si="294"/>
        <v>-2.0788332531913145E-2</v>
      </c>
      <c r="CL56" s="8">
        <f t="shared" si="294"/>
        <v>-1.2135424571216524E-2</v>
      </c>
      <c r="CM56" s="8">
        <f t="shared" si="294"/>
        <v>2.1594701627360768E-2</v>
      </c>
      <c r="CN56" s="8">
        <f t="shared" si="294"/>
        <v>5.9690698359786687E-2</v>
      </c>
      <c r="CO56" s="8">
        <f t="shared" si="294"/>
        <v>4.1997746653923418E-2</v>
      </c>
      <c r="CP56" s="8">
        <f t="shared" si="294"/>
        <v>-6.654184108466521E-2</v>
      </c>
      <c r="CQ56" s="8">
        <f t="shared" si="294"/>
        <v>-0.1222624946047145</v>
      </c>
      <c r="CR56" s="8">
        <f t="shared" si="294"/>
        <v>-0.16756403091957517</v>
      </c>
      <c r="CS56" s="8">
        <f t="shared" si="294"/>
        <v>-0.11993784525982121</v>
      </c>
      <c r="CT56" s="8">
        <f t="shared" si="295"/>
        <v>-0.15521357076140896</v>
      </c>
      <c r="CU56" s="8">
        <f t="shared" si="295"/>
        <v>-0.12668648807717642</v>
      </c>
      <c r="CV56" s="8">
        <f t="shared" si="295"/>
        <v>-0.21304875322172823</v>
      </c>
      <c r="CW56" s="8">
        <f t="shared" si="295"/>
        <v>-0.18931230315876379</v>
      </c>
      <c r="CX56" s="8">
        <f t="shared" si="295"/>
        <v>-0.40973205353165876</v>
      </c>
      <c r="CY56" s="8">
        <f t="shared" si="295"/>
        <v>-0.46643656967627856</v>
      </c>
      <c r="CZ56" s="8">
        <f t="shared" si="295"/>
        <v>-0.43729233311643723</v>
      </c>
      <c r="DA56" s="8">
        <f t="shared" si="295"/>
        <v>-0.49098887990834372</v>
      </c>
      <c r="DB56" s="8">
        <f t="shared" si="295"/>
        <v>6.9976423435238022E-2</v>
      </c>
      <c r="DC56" s="8">
        <f t="shared" si="295"/>
        <v>0.25024441438174572</v>
      </c>
      <c r="DD56" s="8">
        <f t="shared" si="296"/>
        <v>0.22037510446174435</v>
      </c>
      <c r="DE56" s="8">
        <f t="shared" si="296"/>
        <v>0.35091298913705082</v>
      </c>
      <c r="DF56" s="8">
        <f t="shared" si="296"/>
        <v>-0.16116616935757122</v>
      </c>
      <c r="DG56" s="8">
        <f t="shared" si="296"/>
        <v>1.1686097111032328</v>
      </c>
      <c r="DH56" s="8">
        <f t="shared" si="296"/>
        <v>1.3030936902428696</v>
      </c>
      <c r="DI56" s="8">
        <f t="shared" si="296"/>
        <v>1.041420149173335</v>
      </c>
      <c r="DJ56" s="8">
        <f t="shared" si="296"/>
        <v>0.91203506705789295</v>
      </c>
      <c r="DK56" s="8">
        <f t="shared" si="296"/>
        <v>-0.31933135570103655</v>
      </c>
      <c r="DL56" s="8"/>
    </row>
    <row r="57" spans="2:116">
      <c r="B57" s="3" t="s">
        <v>400</v>
      </c>
      <c r="C57" s="3"/>
      <c r="D57" s="7"/>
      <c r="E57" s="7"/>
      <c r="F57" s="7"/>
      <c r="G57" s="7"/>
      <c r="H57" s="5"/>
      <c r="I57" s="5"/>
      <c r="J57" s="5"/>
      <c r="K57" s="5"/>
      <c r="L57" s="5"/>
      <c r="M57" s="5">
        <f>M56/I56-1</f>
        <v>-0.18915718426128747</v>
      </c>
      <c r="N57" s="5">
        <f>N56/J56-1</f>
        <v>-0.26549748350773517</v>
      </c>
      <c r="O57" s="5">
        <f t="shared" ref="O57:BB57" si="310">O56/K56-1</f>
        <v>-0.21886226485610838</v>
      </c>
      <c r="P57" s="5">
        <f t="shared" si="310"/>
        <v>-8.5938899224094256E-2</v>
      </c>
      <c r="Q57" s="5">
        <f t="shared" si="310"/>
        <v>-0.13679483897411759</v>
      </c>
      <c r="R57" s="5">
        <f t="shared" si="310"/>
        <v>-7.2699374024737362E-2</v>
      </c>
      <c r="S57" s="5">
        <f t="shared" si="310"/>
        <v>-5.7641453242966878E-2</v>
      </c>
      <c r="T57" s="5">
        <f t="shared" si="310"/>
        <v>-0.12489574440051965</v>
      </c>
      <c r="U57" s="5">
        <f t="shared" si="310"/>
        <v>-5.8312008302681018E-2</v>
      </c>
      <c r="V57" s="5">
        <f t="shared" si="310"/>
        <v>-9.1841752432463397E-2</v>
      </c>
      <c r="W57" s="5">
        <f t="shared" si="310"/>
        <v>-4.5739642270686498E-2</v>
      </c>
      <c r="X57" s="5">
        <f t="shared" si="310"/>
        <v>-5.6048327223485628E-2</v>
      </c>
      <c r="Y57" s="5">
        <f t="shared" si="310"/>
        <v>-5.0998566637725951E-2</v>
      </c>
      <c r="Z57" s="5">
        <f t="shared" si="310"/>
        <v>-2.0788332531913145E-2</v>
      </c>
      <c r="AA57" s="5">
        <f t="shared" si="310"/>
        <v>-1.2135424571216524E-2</v>
      </c>
      <c r="AB57" s="5">
        <f t="shared" si="310"/>
        <v>2.1594701627360768E-2</v>
      </c>
      <c r="AC57" s="5">
        <f t="shared" si="310"/>
        <v>5.9690698359786687E-2</v>
      </c>
      <c r="AD57" s="5">
        <f t="shared" si="310"/>
        <v>4.1997746653923418E-2</v>
      </c>
      <c r="AE57" s="5">
        <f t="shared" si="310"/>
        <v>-6.654184108466521E-2</v>
      </c>
      <c r="AF57" s="5">
        <f t="shared" si="310"/>
        <v>-0.1222624946047145</v>
      </c>
      <c r="AG57" s="5">
        <f t="shared" si="310"/>
        <v>-0.16756403091957517</v>
      </c>
      <c r="AH57" s="5">
        <f t="shared" si="310"/>
        <v>-0.11993784525982121</v>
      </c>
      <c r="AI57" s="5">
        <f t="shared" si="310"/>
        <v>-0.15521357076140896</v>
      </c>
      <c r="AJ57" s="5">
        <f t="shared" si="310"/>
        <v>-0.12668648807717642</v>
      </c>
      <c r="AK57" s="5">
        <f t="shared" si="310"/>
        <v>-0.21304875322172823</v>
      </c>
      <c r="AL57" s="5">
        <f t="shared" si="310"/>
        <v>-0.18931230315876379</v>
      </c>
      <c r="AM57" s="5">
        <f t="shared" si="310"/>
        <v>-0.40973205353165876</v>
      </c>
      <c r="AN57" s="5">
        <f t="shared" si="310"/>
        <v>-0.46643656967627856</v>
      </c>
      <c r="AO57" s="5">
        <f t="shared" si="310"/>
        <v>-0.43729233311643723</v>
      </c>
      <c r="AP57" s="5">
        <f t="shared" si="310"/>
        <v>-0.49098887990834372</v>
      </c>
      <c r="AQ57" s="5">
        <f t="shared" si="310"/>
        <v>6.9976423435238022E-2</v>
      </c>
      <c r="AR57" s="5">
        <f t="shared" si="310"/>
        <v>0.25024441438174572</v>
      </c>
      <c r="AS57" s="5">
        <f t="shared" si="310"/>
        <v>0.22037510446174435</v>
      </c>
      <c r="AT57" s="5">
        <f t="shared" si="310"/>
        <v>0.35091298913705082</v>
      </c>
      <c r="AU57" s="5">
        <f t="shared" si="310"/>
        <v>-0.16116616935757122</v>
      </c>
      <c r="AV57" s="5">
        <f t="shared" si="310"/>
        <v>1.1686097111032328</v>
      </c>
      <c r="AW57" s="5">
        <f t="shared" si="310"/>
        <v>1.3030936902428696</v>
      </c>
      <c r="AX57" s="5">
        <f t="shared" si="310"/>
        <v>1.041420149173335</v>
      </c>
      <c r="AY57" s="5">
        <f t="shared" si="310"/>
        <v>0.91203506705789295</v>
      </c>
      <c r="AZ57" s="5">
        <f t="shared" si="310"/>
        <v>-0.31933135570103655</v>
      </c>
      <c r="BA57" s="5">
        <f t="shared" si="310"/>
        <v>-0.2804294665855892</v>
      </c>
      <c r="BB57" s="5">
        <f t="shared" si="310"/>
        <v>-0.30586696879894504</v>
      </c>
      <c r="BC57" s="5">
        <f t="shared" ref="BC57" si="311">BC56/AY56-1</f>
        <v>-0.1030841450430281</v>
      </c>
      <c r="BD57" s="5">
        <f t="shared" ref="BD57" si="312">BD56/AZ56-1</f>
        <v>-0.23398279620524665</v>
      </c>
      <c r="BE57" s="5">
        <f t="shared" ref="BE57:BF57" si="313">BE56/BA56-1</f>
        <v>-0.26714273808458167</v>
      </c>
      <c r="BF57" s="5">
        <f t="shared" si="313"/>
        <v>-0.14962965074955714</v>
      </c>
      <c r="BG57" s="5">
        <f t="shared" ref="BG57" si="314">BG56/BC56-1</f>
        <v>-0.174943655479606</v>
      </c>
      <c r="BH57" s="5">
        <f t="shared" ref="BH57" si="315">BH56/BD56-1</f>
        <v>4.5363719142047731E-2</v>
      </c>
      <c r="BI57" s="5">
        <f t="shared" ref="BI57" si="316">BI56/BE56-1</f>
        <v>6.0815319152865754E-2</v>
      </c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</row>
    <row r="58" spans="2:116">
      <c r="B58" s="3"/>
      <c r="C58" s="3"/>
      <c r="D58" s="7"/>
      <c r="E58" s="7"/>
      <c r="F58" s="7"/>
      <c r="G58" s="7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</row>
    <row r="59" spans="2:116">
      <c r="B59" s="3" t="s">
        <v>712</v>
      </c>
      <c r="C59" s="3"/>
      <c r="D59" s="7"/>
      <c r="E59" s="7"/>
      <c r="F59" s="7"/>
      <c r="G59" s="7"/>
      <c r="H59" s="5"/>
      <c r="I59" s="7">
        <f t="shared" ref="I59:Y59" si="317">I66*I50</f>
        <v>2945.8350168350166</v>
      </c>
      <c r="J59" s="7">
        <f t="shared" si="317"/>
        <v>3069.3131313131307</v>
      </c>
      <c r="K59" s="7">
        <f t="shared" si="317"/>
        <v>1649.3148148148143</v>
      </c>
      <c r="L59" s="7">
        <f t="shared" si="317"/>
        <v>1659.0166666666667</v>
      </c>
      <c r="M59" s="7">
        <f t="shared" si="317"/>
        <v>1726.9296296296295</v>
      </c>
      <c r="N59" s="7">
        <f t="shared" si="317"/>
        <v>1833.6499999999996</v>
      </c>
      <c r="O59" s="7">
        <f t="shared" si="317"/>
        <v>1862.7555555555557</v>
      </c>
      <c r="P59" s="7">
        <f t="shared" si="317"/>
        <v>1814.2462962962966</v>
      </c>
      <c r="Q59" s="7">
        <f t="shared" si="317"/>
        <v>1930.6685185185186</v>
      </c>
      <c r="R59" s="7">
        <f t="shared" si="317"/>
        <v>1969.4759259259263</v>
      </c>
      <c r="S59" s="7">
        <f t="shared" si="317"/>
        <v>1882.1592592592597</v>
      </c>
      <c r="T59" s="7">
        <f t="shared" si="317"/>
        <v>1862.7555555555557</v>
      </c>
      <c r="U59" s="7">
        <f t="shared" si="317"/>
        <v>1862.7555555555557</v>
      </c>
      <c r="V59" s="7">
        <f t="shared" si="317"/>
        <v>1930.6685185185186</v>
      </c>
      <c r="W59" s="7">
        <f t="shared" si="317"/>
        <v>1853.0537037037043</v>
      </c>
      <c r="X59" s="7">
        <f t="shared" si="317"/>
        <v>1862.7555555555557</v>
      </c>
      <c r="Y59" s="7">
        <f t="shared" si="317"/>
        <v>1891.8611111111111</v>
      </c>
      <c r="Z59" s="7">
        <f t="shared" ref="Z59:AE59" si="318">Z66*Z50</f>
        <v>1979.1777777777781</v>
      </c>
      <c r="AA59" s="7">
        <f t="shared" si="318"/>
        <v>1872.4574074074078</v>
      </c>
      <c r="AB59" s="7">
        <f t="shared" si="318"/>
        <v>1911.2648148148146</v>
      </c>
      <c r="AC59" s="7">
        <f t="shared" si="318"/>
        <v>1872.4574074074071</v>
      </c>
      <c r="AD59" s="7">
        <f t="shared" si="318"/>
        <v>1930.6685185185186</v>
      </c>
      <c r="AE59" s="7">
        <f t="shared" si="318"/>
        <v>931.31309876543219</v>
      </c>
      <c r="AF59" s="7">
        <f t="shared" ref="AF59:AL59" si="319">AF66*AF50</f>
        <v>489.84650000000005</v>
      </c>
      <c r="AG59" s="7">
        <f t="shared" si="319"/>
        <v>492.46600000000007</v>
      </c>
      <c r="AH59" s="7">
        <f t="shared" si="319"/>
        <v>510.80250000000001</v>
      </c>
      <c r="AI59" s="7">
        <f t="shared" si="319"/>
        <v>439.93629333333354</v>
      </c>
      <c r="AJ59" s="7">
        <f t="shared" si="319"/>
        <v>409.27068000000008</v>
      </c>
      <c r="AK59" s="7">
        <f t="shared" si="319"/>
        <v>437.87562000000014</v>
      </c>
      <c r="AL59" s="7">
        <f t="shared" si="319"/>
        <v>468.68093999999991</v>
      </c>
      <c r="AM59" s="7">
        <f t="shared" ref="AM59:AN59" si="320">AM66*AM50</f>
        <v>446.67714000000012</v>
      </c>
      <c r="AN59" s="7">
        <f t="shared" si="320"/>
        <v>455.4786600000001</v>
      </c>
      <c r="AO59" s="7">
        <f t="shared" ref="AO59:AP59" si="321">AO66*AO50</f>
        <v>459.87942000000015</v>
      </c>
      <c r="AP59" s="7">
        <f t="shared" si="321"/>
        <v>481.88321999999999</v>
      </c>
      <c r="AQ59" s="7">
        <f t="shared" ref="AQ59:AR59" si="322">AQ66*AQ50</f>
        <v>448.87752000000006</v>
      </c>
      <c r="AR59" s="7">
        <f t="shared" si="322"/>
        <v>477.48246000000006</v>
      </c>
      <c r="AS59" s="7">
        <f t="shared" ref="AS59:AT59" si="323">AS66*AS50</f>
        <v>499.48625999999996</v>
      </c>
      <c r="AT59" s="7">
        <f t="shared" si="323"/>
        <v>514.88892000000021</v>
      </c>
      <c r="AU59" s="7">
        <f t="shared" ref="AU59:AV59" si="324">AU66*AU50</f>
        <v>512.68854000000022</v>
      </c>
      <c r="AV59" s="7">
        <f t="shared" si="324"/>
        <v>519.28968000000009</v>
      </c>
      <c r="AW59" s="7">
        <f t="shared" ref="AW59:AX59" si="325">AW66*AW50</f>
        <v>528.09120000000007</v>
      </c>
      <c r="AX59" s="7">
        <f t="shared" si="325"/>
        <v>580.90032000000008</v>
      </c>
      <c r="AY59" s="7">
        <f t="shared" ref="AY59:AZ59" si="326">AY66*AY50</f>
        <v>547.89462000000026</v>
      </c>
      <c r="AZ59" s="7">
        <f t="shared" si="326"/>
        <v>563.29728000000011</v>
      </c>
      <c r="BA59" s="7">
        <f t="shared" ref="BA59:BB59" si="327">BA66*BA50</f>
        <v>567.69803999999988</v>
      </c>
      <c r="BB59" s="7">
        <f t="shared" si="327"/>
        <v>613.90602000000013</v>
      </c>
      <c r="BC59" s="7">
        <f t="shared" ref="BC59:BE59" si="328">BC66*BC50</f>
        <v>635.90982000000008</v>
      </c>
      <c r="BD59" s="7">
        <f t="shared" si="328"/>
        <v>778.93452000000013</v>
      </c>
      <c r="BE59" s="7">
        <f t="shared" si="328"/>
        <v>827.34288000000026</v>
      </c>
      <c r="BF59" s="7">
        <f t="shared" ref="BF59:BI59" si="329">BF66*BF50</f>
        <v>776.73414000000002</v>
      </c>
      <c r="BG59" s="7">
        <f t="shared" si="329"/>
        <v>776.73414000000037</v>
      </c>
      <c r="BH59" s="7">
        <f t="shared" si="329"/>
        <v>776.73414000000002</v>
      </c>
      <c r="BI59" s="7">
        <f t="shared" si="329"/>
        <v>776.73414000000002</v>
      </c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</row>
    <row r="60" spans="2:116">
      <c r="B60" s="3" t="s">
        <v>713</v>
      </c>
      <c r="C60" s="11"/>
      <c r="D60" s="11"/>
      <c r="E60" s="11"/>
      <c r="F60" s="11"/>
      <c r="G60" s="11"/>
      <c r="H60" s="11"/>
      <c r="I60" s="7">
        <f t="shared" ref="I60:Y60" si="330">I55-I59</f>
        <v>6083.2035051102121</v>
      </c>
      <c r="J60" s="7">
        <f t="shared" si="330"/>
        <v>6816.8270419347027</v>
      </c>
      <c r="K60" s="7">
        <f t="shared" si="330"/>
        <v>7032.9297412990891</v>
      </c>
      <c r="L60" s="7">
        <f t="shared" si="330"/>
        <v>6104.4545745038677</v>
      </c>
      <c r="M60" s="7">
        <f t="shared" si="330"/>
        <v>6076.4315757681688</v>
      </c>
      <c r="N60" s="7">
        <f t="shared" si="330"/>
        <v>6053.7271490635512</v>
      </c>
      <c r="O60" s="7">
        <f t="shared" si="330"/>
        <v>5796.9476145468789</v>
      </c>
      <c r="P60" s="7">
        <f t="shared" si="330"/>
        <v>5946.0208488392691</v>
      </c>
      <c r="Q60" s="7">
        <f t="shared" si="330"/>
        <v>5599.9181753233788</v>
      </c>
      <c r="R60" s="7">
        <f t="shared" si="330"/>
        <v>5886.2693800466213</v>
      </c>
      <c r="S60" s="7">
        <f t="shared" si="330"/>
        <v>5411.2169340000428</v>
      </c>
      <c r="T60" s="7">
        <f t="shared" si="330"/>
        <v>5109.8659323215388</v>
      </c>
      <c r="U60" s="7">
        <f t="shared" si="330"/>
        <v>4979.2590551233061</v>
      </c>
      <c r="V60" s="7">
        <f t="shared" si="330"/>
        <v>5063.0148223257047</v>
      </c>
      <c r="W60" s="7">
        <f t="shared" si="330"/>
        <v>4999.1006110886119</v>
      </c>
      <c r="X60" s="7">
        <f t="shared" si="330"/>
        <v>4719.0621615634955</v>
      </c>
      <c r="Y60" s="7">
        <f t="shared" si="330"/>
        <v>4702.6749626434348</v>
      </c>
      <c r="Z60" s="7">
        <f t="shared" ref="Z60:AE60" si="331">Z55-Z59</f>
        <v>5041.186295036784</v>
      </c>
      <c r="AA60" s="7">
        <f t="shared" si="331"/>
        <v>4967.4226920704978</v>
      </c>
      <c r="AB60" s="7">
        <f t="shared" si="331"/>
        <v>4987.7881594379214</v>
      </c>
      <c r="AC60" s="7">
        <f t="shared" si="331"/>
        <v>5044.0376064882939</v>
      </c>
      <c r="AD60" s="7">
        <f t="shared" si="331"/>
        <v>5205.2408215208143</v>
      </c>
      <c r="AE60" s="7">
        <f t="shared" si="331"/>
        <v>5254.9394010732885</v>
      </c>
      <c r="AF60" s="7">
        <f t="shared" ref="AF60:AL60" si="332">AF55-AF59</f>
        <v>5258.3223392302925</v>
      </c>
      <c r="AG60" s="7">
        <f t="shared" si="332"/>
        <v>5115.9141821349895</v>
      </c>
      <c r="AH60" s="7">
        <f t="shared" si="332"/>
        <v>5643.0092146532097</v>
      </c>
      <c r="AI60" s="7">
        <f t="shared" si="332"/>
        <v>4814.0727228427486</v>
      </c>
      <c r="AJ60" s="7">
        <f t="shared" si="332"/>
        <v>4583.838164904384</v>
      </c>
      <c r="AK60" s="7">
        <f t="shared" si="332"/>
        <v>4233.884133036162</v>
      </c>
      <c r="AL60" s="7">
        <f t="shared" si="332"/>
        <v>4980.6449161234586</v>
      </c>
      <c r="AM60" s="7">
        <f t="shared" ref="AM60:AN60" si="333">AM55-AM59</f>
        <v>2902.03797637763</v>
      </c>
      <c r="AN60" s="7">
        <f t="shared" si="333"/>
        <v>2509.4516552486439</v>
      </c>
      <c r="AO60" s="7">
        <f t="shared" ref="AO60:AP60" si="334">AO55-AO59</f>
        <v>2301.0578737293717</v>
      </c>
      <c r="AP60" s="7">
        <f t="shared" si="334"/>
        <v>2370.0185323548908</v>
      </c>
      <c r="AQ60" s="7">
        <f t="shared" ref="AQ60:AR60" si="335">AQ55-AQ59</f>
        <v>3151.8191773317812</v>
      </c>
      <c r="AR60" s="7">
        <f t="shared" si="335"/>
        <v>3408.4817996644792</v>
      </c>
      <c r="AS60" s="7">
        <f t="shared" ref="AS60:AT60" si="336">AS55-AS59</f>
        <v>3160.0786413499477</v>
      </c>
      <c r="AT60" s="7">
        <f t="shared" si="336"/>
        <v>3601.6637846290032</v>
      </c>
      <c r="AU60" s="7">
        <f t="shared" ref="AU60:AV60" si="337">AU55-AU59</f>
        <v>2937.0662905873332</v>
      </c>
      <c r="AV60" s="7">
        <f t="shared" si="337"/>
        <v>8645.7103200000001</v>
      </c>
      <c r="AW60" s="7">
        <f t="shared" ref="AW60:AX60" si="338">AW55-AW59</f>
        <v>8382.9087999999992</v>
      </c>
      <c r="AX60" s="7">
        <f t="shared" si="338"/>
        <v>8900.0996799999994</v>
      </c>
      <c r="AY60" s="7">
        <f t="shared" ref="AY60:AZ60" si="339">AY55-AY59</f>
        <v>6501.10538</v>
      </c>
      <c r="AZ60" s="7">
        <f t="shared" si="339"/>
        <v>6203.7027200000002</v>
      </c>
      <c r="BA60" s="7">
        <f t="shared" ref="BA60:BB60" si="340">BA55-BA59</f>
        <v>6325.3019599999998</v>
      </c>
      <c r="BB60" s="7">
        <f t="shared" si="340"/>
        <v>6341.0939799999987</v>
      </c>
      <c r="BC60" s="7">
        <f t="shared" ref="BC60:BE60" si="341">BC55-BC59</f>
        <v>6702.0901800000001</v>
      </c>
      <c r="BD60" s="7">
        <f t="shared" si="341"/>
        <v>6389.0654800000002</v>
      </c>
      <c r="BE60" s="7">
        <f t="shared" si="341"/>
        <v>6534.6571200000008</v>
      </c>
      <c r="BF60" s="7">
        <f t="shared" ref="BF60:BI60" si="342">BF55-BF59</f>
        <v>6706.2658600000013</v>
      </c>
      <c r="BG60" s="7">
        <f t="shared" si="342"/>
        <v>6618.2658600000004</v>
      </c>
      <c r="BH60" s="7">
        <f t="shared" si="342"/>
        <v>6695.2658599999995</v>
      </c>
      <c r="BI60" s="7">
        <f t="shared" si="342"/>
        <v>6555.2658599999995</v>
      </c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</row>
    <row r="61" spans="2:116">
      <c r="B61" s="3" t="s">
        <v>714</v>
      </c>
      <c r="C61" s="11"/>
      <c r="D61" s="11"/>
      <c r="E61" s="11"/>
      <c r="F61" s="11"/>
      <c r="G61" s="11"/>
      <c r="H61" s="11"/>
      <c r="I61" s="11">
        <f t="shared" ref="I61:Y61" si="343">I60/I49</f>
        <v>70.250853138569624</v>
      </c>
      <c r="J61" s="11">
        <f t="shared" si="343"/>
        <v>75.555964750507798</v>
      </c>
      <c r="K61" s="11">
        <f t="shared" si="343"/>
        <v>79.785337401292196</v>
      </c>
      <c r="L61" s="11">
        <f t="shared" si="343"/>
        <v>68.847232043276705</v>
      </c>
      <c r="M61" s="11">
        <f t="shared" si="343"/>
        <v>65.836136655594146</v>
      </c>
      <c r="N61" s="11">
        <f t="shared" si="343"/>
        <v>61.772726010852573</v>
      </c>
      <c r="O61" s="11">
        <f t="shared" si="343"/>
        <v>58.228268449689629</v>
      </c>
      <c r="P61" s="11">
        <f t="shared" si="343"/>
        <v>61.322598517440895</v>
      </c>
      <c r="Q61" s="11">
        <f t="shared" si="343"/>
        <v>54.27056379530913</v>
      </c>
      <c r="R61" s="11">
        <f t="shared" si="343"/>
        <v>55.921630281934839</v>
      </c>
      <c r="S61" s="11">
        <f t="shared" si="343"/>
        <v>53.79339367378541</v>
      </c>
      <c r="T61" s="11">
        <f t="shared" si="343"/>
        <v>51.326778338051177</v>
      </c>
      <c r="U61" s="11">
        <f t="shared" si="343"/>
        <v>50.014878901908219</v>
      </c>
      <c r="V61" s="11">
        <f t="shared" si="343"/>
        <v>49.06726496869851</v>
      </c>
      <c r="W61" s="11">
        <f t="shared" si="343"/>
        <v>50.477081712562658</v>
      </c>
      <c r="X61" s="11">
        <f t="shared" si="343"/>
        <v>47.401294033561904</v>
      </c>
      <c r="Y61" s="11">
        <f t="shared" si="343"/>
        <v>46.509972158011998</v>
      </c>
      <c r="Z61" s="11">
        <f t="shared" ref="Z61:AE61" si="344">Z60/Z49</f>
        <v>47.658273797616665</v>
      </c>
      <c r="AA61" s="11">
        <f t="shared" si="344"/>
        <v>49.637458432976857</v>
      </c>
      <c r="AB61" s="11">
        <f t="shared" si="344"/>
        <v>48.828963127202279</v>
      </c>
      <c r="AC61" s="11">
        <f t="shared" si="344"/>
        <v>50.4030404793427</v>
      </c>
      <c r="AD61" s="11">
        <f t="shared" si="344"/>
        <v>50.445621744817657</v>
      </c>
      <c r="AE61" s="11">
        <f t="shared" si="344"/>
        <v>54.19532613788342</v>
      </c>
      <c r="AF61" s="11">
        <f t="shared" ref="AF61:AL61" si="345">AF60/AF49</f>
        <v>54.230215110472841</v>
      </c>
      <c r="AG61" s="11">
        <f t="shared" si="345"/>
        <v>52.480882567494184</v>
      </c>
      <c r="AH61" s="11">
        <f t="shared" si="345"/>
        <v>55.809981243822953</v>
      </c>
      <c r="AI61" s="11">
        <f t="shared" si="345"/>
        <v>49.384484618827592</v>
      </c>
      <c r="AJ61" s="11">
        <f t="shared" si="345"/>
        <v>47.528275903386472</v>
      </c>
      <c r="AK61" s="11">
        <f t="shared" si="345"/>
        <v>41.031899351032443</v>
      </c>
      <c r="AL61" s="11">
        <f t="shared" si="345"/>
        <v>45.096382540353247</v>
      </c>
      <c r="AM61" s="11">
        <f t="shared" ref="AM61:AN61" si="346">AM60/AM49</f>
        <v>27.570381900843071</v>
      </c>
      <c r="AN61" s="11">
        <f t="shared" si="346"/>
        <v>23.379984365670595</v>
      </c>
      <c r="AO61" s="11">
        <f t="shared" ref="AO61:AP61" si="347">AO60/AO49</f>
        <v>21.23327497973105</v>
      </c>
      <c r="AP61" s="11">
        <f t="shared" si="347"/>
        <v>20.871004688056772</v>
      </c>
      <c r="AQ61" s="11">
        <f t="shared" ref="AQ61:AR61" si="348">AQ60/AQ49</f>
        <v>29.796609869733231</v>
      </c>
      <c r="AR61" s="11">
        <f t="shared" si="348"/>
        <v>30.292629555938426</v>
      </c>
      <c r="AS61" s="11">
        <f t="shared" ref="AS61:AT61" si="349">AS60/AS49</f>
        <v>26.847741760997039</v>
      </c>
      <c r="AT61" s="11">
        <f t="shared" si="349"/>
        <v>29.68404218100827</v>
      </c>
      <c r="AU61" s="11">
        <f t="shared" ref="AU61:AV61" si="350">AU60/AU49</f>
        <v>24.31048125256223</v>
      </c>
      <c r="AV61" s="11">
        <f t="shared" si="350"/>
        <v>70.651991113801458</v>
      </c>
      <c r="AW61" s="11">
        <f t="shared" ref="AW61:AX61" si="351">AW60/AW49</f>
        <v>67.362660000000005</v>
      </c>
      <c r="AX61" s="11">
        <f t="shared" si="351"/>
        <v>65.016961948051943</v>
      </c>
      <c r="AY61" s="11">
        <f t="shared" ref="AY61:AZ61" si="352">AY60/AY49</f>
        <v>50.352795542168685</v>
      </c>
      <c r="AZ61" s="11">
        <f t="shared" si="352"/>
        <v>46.735483660714287</v>
      </c>
      <c r="BA61" s="11">
        <f t="shared" ref="BA61:BB61" si="353">BA60/BA49</f>
        <v>47.282157508305652</v>
      </c>
      <c r="BB61" s="11">
        <f t="shared" si="353"/>
        <v>43.83244686635944</v>
      </c>
      <c r="BC61" s="11">
        <f t="shared" ref="BC61:BE61" si="354">BC60/BC49</f>
        <v>44.724773816114684</v>
      </c>
      <c r="BD61" s="11">
        <f t="shared" si="354"/>
        <v>34.807257457627124</v>
      </c>
      <c r="BE61" s="11">
        <f t="shared" si="354"/>
        <v>33.517428237082079</v>
      </c>
      <c r="BF61" s="11">
        <f t="shared" ref="BF61:BI61" si="355">BF60/BF49</f>
        <v>36.638846260623239</v>
      </c>
      <c r="BG61" s="11">
        <f t="shared" si="355"/>
        <v>36.158069247268315</v>
      </c>
      <c r="BH61" s="11">
        <f t="shared" si="355"/>
        <v>36.578749133953863</v>
      </c>
      <c r="BI61" s="11">
        <f t="shared" si="355"/>
        <v>35.813876612707404</v>
      </c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</row>
    <row r="62" spans="2:116">
      <c r="B62" s="3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</row>
    <row r="63" spans="2:116">
      <c r="B63" s="3" t="s">
        <v>35</v>
      </c>
      <c r="C63" s="3"/>
      <c r="D63" s="3"/>
      <c r="E63" s="3"/>
      <c r="F63" s="3"/>
      <c r="G63" s="3"/>
      <c r="H63" s="3"/>
      <c r="I63" s="3"/>
      <c r="J63" s="7"/>
      <c r="K63" s="7"/>
      <c r="L63" s="7"/>
      <c r="M63" s="7">
        <v>545.58409090909083</v>
      </c>
      <c r="N63" s="7">
        <v>517.80393939393912</v>
      </c>
      <c r="O63" s="7">
        <v>518.76828124999997</v>
      </c>
      <c r="P63" s="7">
        <v>530.59646153846165</v>
      </c>
      <c r="Q63" s="7">
        <v>510.76227272727289</v>
      </c>
      <c r="R63" s="7">
        <v>480.07000000000016</v>
      </c>
      <c r="S63" s="7">
        <v>481.63124999999985</v>
      </c>
      <c r="T63" s="7">
        <v>469.23030769230752</v>
      </c>
      <c r="U63" s="7">
        <v>471.93681818181824</v>
      </c>
      <c r="V63" s="7">
        <v>512.08523076923086</v>
      </c>
      <c r="W63" s="7">
        <v>489.02692307692308</v>
      </c>
      <c r="X63" s="7">
        <v>496.29153846153838</v>
      </c>
      <c r="Y63" s="7">
        <v>482.3447692307692</v>
      </c>
      <c r="Z63" s="7">
        <v>477.78545454545474</v>
      </c>
      <c r="AA63" s="7">
        <v>472.43953124999985</v>
      </c>
      <c r="AB63" s="7">
        <v>484.84707692307683</v>
      </c>
      <c r="AC63" s="7">
        <v>506.86681818181808</v>
      </c>
      <c r="AD63" s="7">
        <v>516.74742424242413</v>
      </c>
      <c r="AE63" s="7">
        <v>551.55453124999997</v>
      </c>
      <c r="AF63" s="7">
        <v>554.76092307692306</v>
      </c>
      <c r="AG63" s="7">
        <v>577.55166666666639</v>
      </c>
      <c r="AH63" s="7">
        <v>598.40787878787876</v>
      </c>
      <c r="AI63" s="7">
        <v>624.50937499999998</v>
      </c>
      <c r="AJ63" s="7">
        <f>AJ288</f>
        <v>618</v>
      </c>
      <c r="AK63" s="7">
        <f t="shared" ref="AK63:AM63" si="356">AK288</f>
        <v>676.60651515151517</v>
      </c>
      <c r="AL63" s="7">
        <f t="shared" si="356"/>
        <v>698.00272727272738</v>
      </c>
      <c r="AM63" s="7">
        <f t="shared" si="356"/>
        <v>700.93938461538482</v>
      </c>
      <c r="AN63" s="7">
        <f t="shared" ref="AN63:AO63" si="357">AN288</f>
        <v>677</v>
      </c>
      <c r="AO63" s="7">
        <f t="shared" si="357"/>
        <v>662</v>
      </c>
      <c r="AP63" s="7">
        <f t="shared" ref="AP63:AQ63" si="358">AP288</f>
        <v>665</v>
      </c>
      <c r="AQ63" s="7">
        <f t="shared" si="358"/>
        <v>656</v>
      </c>
      <c r="AR63" s="7">
        <v>664</v>
      </c>
      <c r="AS63" s="7">
        <v>664</v>
      </c>
      <c r="AT63" s="7">
        <v>630</v>
      </c>
      <c r="AU63" s="7">
        <v>602.16723076923074</v>
      </c>
      <c r="AV63" s="7">
        <v>621.93030769230711</v>
      </c>
      <c r="AW63" s="7">
        <v>663.17030769230769</v>
      </c>
      <c r="AX63" s="7">
        <v>680.6080303030302</v>
      </c>
      <c r="AY63" s="7">
        <v>667.58921875000021</v>
      </c>
      <c r="AZ63" s="7">
        <v>683.48907692307728</v>
      </c>
      <c r="BA63" s="7">
        <v>706.06954545454539</v>
      </c>
      <c r="BB63" s="7">
        <v>755.1612121212122</v>
      </c>
      <c r="BC63" s="7">
        <v>804.15</v>
      </c>
      <c r="BD63" s="7">
        <v>822.51215384615386</v>
      </c>
      <c r="BE63" s="7">
        <v>780.68606060606066</v>
      </c>
      <c r="BF63" s="7">
        <v>737</v>
      </c>
      <c r="BG63" s="99">
        <v>737</v>
      </c>
      <c r="BH63" s="99">
        <v>737</v>
      </c>
      <c r="BI63" s="99">
        <v>737</v>
      </c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8"/>
      <c r="CA63" s="8"/>
      <c r="CB63" s="8">
        <f t="shared" ref="CB63:CK64" si="359">Q63/M63-1</f>
        <v>-6.3824841600119586E-2</v>
      </c>
      <c r="CC63" s="8">
        <f t="shared" si="359"/>
        <v>-7.2873024948602039E-2</v>
      </c>
      <c r="CD63" s="8">
        <f t="shared" si="359"/>
        <v>-7.1586935038735366E-2</v>
      </c>
      <c r="CE63" s="8">
        <f t="shared" si="359"/>
        <v>-0.11565503785725084</v>
      </c>
      <c r="CF63" s="8">
        <f t="shared" si="359"/>
        <v>-7.6014726651876141E-2</v>
      </c>
      <c r="CG63" s="8">
        <f t="shared" si="359"/>
        <v>6.6688672004563188E-2</v>
      </c>
      <c r="CH63" s="8">
        <f t="shared" si="359"/>
        <v>1.535546764651019E-2</v>
      </c>
      <c r="CI63" s="8">
        <f t="shared" si="359"/>
        <v>5.7671532135933568E-2</v>
      </c>
      <c r="CJ63" s="8">
        <f t="shared" si="359"/>
        <v>2.205369585074668E-2</v>
      </c>
      <c r="CK63" s="8">
        <f t="shared" si="359"/>
        <v>-6.6980600421247427E-2</v>
      </c>
      <c r="CL63" s="8">
        <f t="shared" ref="CL63:CU64" si="360">AA63/W63-1</f>
        <v>-3.3919179178431569E-2</v>
      </c>
      <c r="CM63" s="8">
        <f t="shared" si="360"/>
        <v>-2.3059957004180287E-2</v>
      </c>
      <c r="CN63" s="8">
        <f t="shared" si="360"/>
        <v>5.0839255477272083E-2</v>
      </c>
      <c r="CO63" s="8">
        <f t="shared" si="360"/>
        <v>8.1546998399179449E-2</v>
      </c>
      <c r="CP63" s="8">
        <f t="shared" si="360"/>
        <v>0.16746058440680112</v>
      </c>
      <c r="CQ63" s="8">
        <f t="shared" si="360"/>
        <v>0.14419772642032114</v>
      </c>
      <c r="CR63" s="8">
        <f t="shared" si="360"/>
        <v>0.13945447985410042</v>
      </c>
      <c r="CS63" s="8">
        <f t="shared" si="360"/>
        <v>0.15802779213688911</v>
      </c>
      <c r="CT63" s="8">
        <f t="shared" si="360"/>
        <v>0.13227131610116749</v>
      </c>
      <c r="CU63" s="8">
        <f t="shared" si="360"/>
        <v>0.11399338758816691</v>
      </c>
      <c r="CV63" s="8">
        <f t="shared" ref="CV63:DE64" si="361">AK63/AG63-1</f>
        <v>0.17150820299167835</v>
      </c>
      <c r="CW63" s="8">
        <f t="shared" si="361"/>
        <v>0.16643305012391485</v>
      </c>
      <c r="CX63" s="8">
        <f t="shared" si="361"/>
        <v>0.12238408689282654</v>
      </c>
      <c r="CY63" s="8">
        <f t="shared" si="361"/>
        <v>9.5469255663430452E-2</v>
      </c>
      <c r="CZ63" s="8">
        <f t="shared" si="361"/>
        <v>-2.1587902014576832E-2</v>
      </c>
      <c r="DA63" s="8">
        <f t="shared" si="361"/>
        <v>-4.7281659488176198E-2</v>
      </c>
      <c r="DB63" s="8">
        <f t="shared" si="361"/>
        <v>-6.4113082531442656E-2</v>
      </c>
      <c r="DC63" s="8">
        <f t="shared" si="361"/>
        <v>-1.9202363367799125E-2</v>
      </c>
      <c r="DD63" s="8">
        <f t="shared" si="361"/>
        <v>3.0211480362538623E-3</v>
      </c>
      <c r="DE63" s="8">
        <f t="shared" si="361"/>
        <v>-5.2631578947368474E-2</v>
      </c>
      <c r="DF63" s="8">
        <f t="shared" ref="DF63:DK64" si="362">AU63/AQ63-1</f>
        <v>-8.2062148217636022E-2</v>
      </c>
      <c r="DG63" s="8">
        <f t="shared" si="362"/>
        <v>-6.3357970342911019E-2</v>
      </c>
      <c r="DH63" s="8">
        <f t="shared" si="362"/>
        <v>-1.2495366079703363E-3</v>
      </c>
      <c r="DI63" s="8">
        <f t="shared" si="362"/>
        <v>8.0330206830206752E-2</v>
      </c>
      <c r="DJ63" s="8">
        <f t="shared" si="362"/>
        <v>0.10864421814716985</v>
      </c>
      <c r="DK63" s="8">
        <f t="shared" si="362"/>
        <v>9.8980172648581721E-2</v>
      </c>
      <c r="DL63" s="8"/>
    </row>
    <row r="64" spans="2:116">
      <c r="B64" s="3" t="s">
        <v>36</v>
      </c>
      <c r="C64" s="3"/>
      <c r="D64" s="3"/>
      <c r="E64" s="3"/>
      <c r="F64" s="3"/>
      <c r="G64" s="3"/>
      <c r="H64" s="3"/>
      <c r="I64" s="3"/>
      <c r="J64" s="11"/>
      <c r="K64" s="11"/>
      <c r="L64" s="11"/>
      <c r="M64" s="11">
        <f t="shared" ref="M64:T64" si="363">M56*100/M63</f>
        <v>12.032837380417307</v>
      </c>
      <c r="N64" s="11">
        <f t="shared" si="363"/>
        <v>12.069061240438222</v>
      </c>
      <c r="O64" s="11">
        <f t="shared" si="363"/>
        <v>11.516097534669607</v>
      </c>
      <c r="P64" s="11">
        <f t="shared" si="363"/>
        <v>11.712207378249174</v>
      </c>
      <c r="Q64" s="11">
        <f t="shared" si="363"/>
        <v>11.094940124575199</v>
      </c>
      <c r="R64" s="11">
        <f t="shared" si="363"/>
        <v>12.071321776147979</v>
      </c>
      <c r="S64" s="11">
        <f t="shared" si="363"/>
        <v>11.689078220303031</v>
      </c>
      <c r="T64" s="11">
        <f t="shared" si="363"/>
        <v>11.589824059533735</v>
      </c>
      <c r="U64" s="11">
        <f t="shared" ref="U64:Z64" si="364">U56*100/U63</f>
        <v>11.307509097038183</v>
      </c>
      <c r="V64" s="11">
        <f t="shared" si="364"/>
        <v>10.277291507604474</v>
      </c>
      <c r="W64" s="11">
        <f t="shared" si="364"/>
        <v>10.985732897944708</v>
      </c>
      <c r="X64" s="11">
        <f t="shared" si="364"/>
        <v>10.343696956737517</v>
      </c>
      <c r="Y64" s="11">
        <f t="shared" si="364"/>
        <v>10.499294102071564</v>
      </c>
      <c r="Z64" s="11">
        <f t="shared" si="364"/>
        <v>10.78610343875015</v>
      </c>
      <c r="AA64" s="11">
        <f t="shared" ref="AA64:AM64" si="365">AA56*100/AA63</f>
        <v>11.233445619770324</v>
      </c>
      <c r="AB64" s="11">
        <f t="shared" si="365"/>
        <v>10.816493890288125</v>
      </c>
      <c r="AC64" s="11">
        <f t="shared" si="365"/>
        <v>10.587731892691597</v>
      </c>
      <c r="AD64" s="11">
        <f t="shared" si="365"/>
        <v>10.391684776518279</v>
      </c>
      <c r="AE64" s="11">
        <f t="shared" si="365"/>
        <v>8.9818462452283647</v>
      </c>
      <c r="AF64" s="11">
        <f t="shared" si="365"/>
        <v>8.2975539499518369</v>
      </c>
      <c r="AG64" s="11">
        <f t="shared" si="365"/>
        <v>7.7349372127484841</v>
      </c>
      <c r="AH64" s="11">
        <f t="shared" si="365"/>
        <v>7.8973307531140247</v>
      </c>
      <c r="AI64" s="11">
        <f t="shared" si="365"/>
        <v>6.7013459667987902</v>
      </c>
      <c r="AJ64" s="11">
        <f t="shared" si="365"/>
        <v>6.5048554696452552</v>
      </c>
      <c r="AK64" s="11">
        <f t="shared" si="365"/>
        <v>5.1958820841199937</v>
      </c>
      <c r="AL64" s="11">
        <f t="shared" si="365"/>
        <v>5.4887581235419693</v>
      </c>
      <c r="AM64" s="11">
        <f t="shared" si="365"/>
        <v>3.5242745942226921</v>
      </c>
      <c r="AN64" s="11">
        <f t="shared" ref="AN64:AO64" si="366">AN56*100/AN63</f>
        <v>3.1682796940220945</v>
      </c>
      <c r="AO64" s="11">
        <f t="shared" si="366"/>
        <v>2.9882732347416501</v>
      </c>
      <c r="AP64" s="11">
        <f t="shared" ref="AP64:AQ64" si="367">AP56*100/AP63</f>
        <v>2.9324920089974924</v>
      </c>
      <c r="AQ64" s="11">
        <f t="shared" si="367"/>
        <v>4.0292161960440698</v>
      </c>
      <c r="AR64" s="11">
        <f t="shared" ref="AR64:AW64" si="368">AR56*100/AR63</f>
        <v>4.0386761169732006</v>
      </c>
      <c r="AS64" s="11">
        <f t="shared" si="368"/>
        <v>3.6358298807038349</v>
      </c>
      <c r="AT64" s="11">
        <f t="shared" si="368"/>
        <v>4.1816271869117241</v>
      </c>
      <c r="AU64" s="11">
        <f t="shared" si="368"/>
        <v>3.6819953002825918</v>
      </c>
      <c r="AV64" s="11">
        <f t="shared" si="368"/>
        <v>9.3507572476490903</v>
      </c>
      <c r="AW64" s="11">
        <f t="shared" si="368"/>
        <v>8.3841331383279254</v>
      </c>
      <c r="AX64" s="11">
        <f t="shared" ref="AX64:AY64" si="369">AX56*100/AX63</f>
        <v>7.9017118485832203</v>
      </c>
      <c r="AY64" s="11">
        <f t="shared" si="369"/>
        <v>6.3501924383356272</v>
      </c>
      <c r="AZ64" s="11">
        <f t="shared" ref="AZ64:BA64" si="370">AZ56*100/AZ63</f>
        <v>5.7915214644743722</v>
      </c>
      <c r="BA64" s="11">
        <f t="shared" si="370"/>
        <v>5.6664248094380705</v>
      </c>
      <c r="BB64" s="11">
        <f t="shared" ref="BB64:BI64" si="371">BB56*100/BB63</f>
        <v>4.9433492379787083</v>
      </c>
      <c r="BC64" s="11">
        <f t="shared" si="371"/>
        <v>4.7283632781789002</v>
      </c>
      <c r="BD64" s="11">
        <f t="shared" si="371"/>
        <v>3.686552712193834</v>
      </c>
      <c r="BE64" s="11">
        <f t="shared" si="371"/>
        <v>3.7557751200167138</v>
      </c>
      <c r="BF64" s="11">
        <f t="shared" si="371"/>
        <v>4.3072649733387625</v>
      </c>
      <c r="BG64" s="11">
        <f t="shared" si="371"/>
        <v>4.2566115833008329</v>
      </c>
      <c r="BH64" s="11">
        <f t="shared" si="371"/>
        <v>4.3009332995840195</v>
      </c>
      <c r="BI64" s="11">
        <f t="shared" si="371"/>
        <v>4.2203483608873169</v>
      </c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8"/>
      <c r="CA64" s="8"/>
      <c r="CB64" s="8">
        <f t="shared" si="359"/>
        <v>-7.7944812697999022E-2</v>
      </c>
      <c r="CC64" s="8">
        <f t="shared" si="359"/>
        <v>1.8730004469480477E-4</v>
      </c>
      <c r="CD64" s="8">
        <f t="shared" si="359"/>
        <v>1.5020772888789891E-2</v>
      </c>
      <c r="CE64" s="8">
        <f t="shared" si="359"/>
        <v>-1.0449210363429717E-2</v>
      </c>
      <c r="CF64" s="8">
        <f t="shared" si="359"/>
        <v>1.9159091448555543E-2</v>
      </c>
      <c r="CG64" s="8">
        <f t="shared" si="359"/>
        <v>-0.14861920689483843</v>
      </c>
      <c r="CH64" s="8">
        <f t="shared" si="359"/>
        <v>-6.0171153713101777E-2</v>
      </c>
      <c r="CI64" s="8">
        <f t="shared" si="359"/>
        <v>-0.10751906986639359</v>
      </c>
      <c r="CJ64" s="8">
        <f t="shared" si="359"/>
        <v>-7.1475953548276849E-2</v>
      </c>
      <c r="CK64" s="8">
        <f t="shared" si="359"/>
        <v>4.9508368111305545E-2</v>
      </c>
      <c r="CL64" s="8">
        <f t="shared" si="360"/>
        <v>2.254858407052307E-2</v>
      </c>
      <c r="CM64" s="8">
        <f t="shared" si="360"/>
        <v>4.5708699271457709E-2</v>
      </c>
      <c r="CN64" s="8">
        <f t="shared" si="360"/>
        <v>8.4232130046326681E-3</v>
      </c>
      <c r="CO64" s="8">
        <f t="shared" si="360"/>
        <v>-3.6567298327112474E-2</v>
      </c>
      <c r="CP64" s="8">
        <f t="shared" si="360"/>
        <v>-0.20043710992638375</v>
      </c>
      <c r="CQ64" s="8">
        <f t="shared" si="360"/>
        <v>-0.23287952324347772</v>
      </c>
      <c r="CR64" s="8">
        <f t="shared" si="360"/>
        <v>-0.26944341893586421</v>
      </c>
      <c r="CS64" s="8">
        <f t="shared" si="360"/>
        <v>-0.24003364969659757</v>
      </c>
      <c r="CT64" s="8">
        <f t="shared" si="360"/>
        <v>-0.25390105955566733</v>
      </c>
      <c r="CU64" s="8">
        <f t="shared" si="360"/>
        <v>-0.2160514401135033</v>
      </c>
      <c r="CV64" s="8">
        <f t="shared" si="361"/>
        <v>-0.3282580140978647</v>
      </c>
      <c r="CW64" s="8">
        <f t="shared" si="361"/>
        <v>-0.30498565969550184</v>
      </c>
      <c r="CX64" s="8">
        <f t="shared" si="361"/>
        <v>-0.47409451598479013</v>
      </c>
      <c r="CY64" s="8">
        <f t="shared" si="361"/>
        <v>-0.5129361891579618</v>
      </c>
      <c r="CZ64" s="8">
        <f t="shared" si="361"/>
        <v>-0.42487662607382626</v>
      </c>
      <c r="DA64" s="8">
        <f t="shared" si="361"/>
        <v>-0.46572759393064389</v>
      </c>
      <c r="DB64" s="8">
        <f t="shared" si="361"/>
        <v>0.14327532895680806</v>
      </c>
      <c r="DC64" s="8">
        <f t="shared" si="361"/>
        <v>0.27472209116933977</v>
      </c>
      <c r="DD64" s="8">
        <f t="shared" si="361"/>
        <v>0.21669927583384752</v>
      </c>
      <c r="DE64" s="8">
        <f t="shared" si="361"/>
        <v>0.42596371075577588</v>
      </c>
      <c r="DF64" s="8">
        <f t="shared" si="362"/>
        <v>-8.6175791733981266E-2</v>
      </c>
      <c r="DG64" s="8">
        <f t="shared" si="362"/>
        <v>1.3153025835250802</v>
      </c>
      <c r="DH64" s="8">
        <f t="shared" si="362"/>
        <v>1.3059750905355614</v>
      </c>
      <c r="DI64" s="8">
        <f t="shared" si="362"/>
        <v>0.88962609419490279</v>
      </c>
      <c r="DJ64" s="8">
        <f t="shared" si="362"/>
        <v>0.72466065827087078</v>
      </c>
      <c r="DK64" s="8">
        <f t="shared" si="362"/>
        <v>-0.38063610132426007</v>
      </c>
      <c r="DL64" s="8"/>
    </row>
    <row r="65" spans="2:116">
      <c r="B65" s="3" t="s">
        <v>3</v>
      </c>
      <c r="C65" s="6">
        <v>1.6199999999999999E-2</v>
      </c>
      <c r="D65" s="6">
        <v>1.78E-2</v>
      </c>
      <c r="E65" s="6">
        <v>1.8599999999999998E-2</v>
      </c>
      <c r="F65" s="6">
        <v>1.9300000000000001E-2</v>
      </c>
      <c r="G65" s="6">
        <v>1.8200000000000001E-2</v>
      </c>
      <c r="H65" s="6">
        <v>1.9199999999999998E-2</v>
      </c>
      <c r="I65" s="6">
        <v>1.7500000000000002E-2</v>
      </c>
      <c r="J65" s="6">
        <v>1.5900000000000001E-2</v>
      </c>
      <c r="K65" s="6">
        <v>1.9800000000000002E-2</v>
      </c>
      <c r="L65" s="6">
        <v>1.5900000000000001E-2</v>
      </c>
      <c r="M65" s="6">
        <v>1.2699999999999999E-2</v>
      </c>
      <c r="N65" s="6">
        <v>1.35E-2</v>
      </c>
      <c r="O65" s="6">
        <v>1.43E-2</v>
      </c>
      <c r="P65" s="6">
        <v>1.4999999999999999E-2</v>
      </c>
      <c r="Q65" s="6">
        <v>1.8700000000000001E-2</v>
      </c>
      <c r="R65" s="6">
        <v>1.8700000000000001E-2</v>
      </c>
      <c r="S65" s="6">
        <v>2.1399999999999999E-2</v>
      </c>
      <c r="T65" s="6">
        <v>2.1600000000000001E-2</v>
      </c>
      <c r="U65" s="6">
        <v>2.53E-2</v>
      </c>
      <c r="V65" s="6">
        <v>2.64E-2</v>
      </c>
      <c r="W65" s="6">
        <v>2.6599999999999999E-2</v>
      </c>
      <c r="X65" s="6">
        <v>3.2399999999999998E-2</v>
      </c>
      <c r="Y65" s="6">
        <v>2.98E-2</v>
      </c>
      <c r="Z65" s="6">
        <v>3.6299999999999999E-2</v>
      </c>
      <c r="AA65" s="6">
        <v>3.5499999999999997E-2</v>
      </c>
      <c r="AB65" s="6">
        <v>3.3000000000000002E-2</v>
      </c>
      <c r="AC65" s="6">
        <v>2.6599999999999999E-2</v>
      </c>
      <c r="AD65" s="6">
        <v>2.7699999999999999E-2</v>
      </c>
      <c r="AE65" s="6">
        <v>3.04E-2</v>
      </c>
      <c r="AF65" s="6">
        <v>2.6499999999999999E-2</v>
      </c>
      <c r="AG65" s="6">
        <v>2.6700000000000002E-2</v>
      </c>
      <c r="AH65" s="6">
        <v>3.15E-2</v>
      </c>
      <c r="AI65" s="6">
        <v>2.76E-2</v>
      </c>
      <c r="AJ65" s="6">
        <v>2.7699999999999999E-2</v>
      </c>
      <c r="AK65" s="6">
        <v>2.8899999999999999E-2</v>
      </c>
      <c r="AL65" s="6">
        <v>3.1800000000000002E-2</v>
      </c>
      <c r="AM65" s="6">
        <v>2.01E-2</v>
      </c>
      <c r="AN65" s="6">
        <v>2.4899999999999999E-2</v>
      </c>
      <c r="AO65" s="6">
        <v>2.92E-2</v>
      </c>
      <c r="AP65" s="6">
        <v>2.8400000000000002E-2</v>
      </c>
      <c r="AQ65" s="6">
        <v>2.87E-2</v>
      </c>
      <c r="AR65" s="6">
        <v>4.3799999999999999E-2</v>
      </c>
      <c r="AS65" s="6">
        <v>2.9499999999999998E-2</v>
      </c>
      <c r="AT65" s="6">
        <v>2.3800000000000002E-2</v>
      </c>
      <c r="AU65" s="6">
        <v>1.9300000000000001E-2</v>
      </c>
      <c r="AV65" s="6">
        <v>2.3300000000000001E-2</v>
      </c>
      <c r="AW65" s="6">
        <v>0.03</v>
      </c>
      <c r="AX65" s="6">
        <v>1.72E-2</v>
      </c>
      <c r="AY65" s="6">
        <v>1.8499999999999999E-2</v>
      </c>
      <c r="AZ65" s="6">
        <v>2.1499999999999998E-2</v>
      </c>
      <c r="BA65" s="6">
        <v>1.9400000000000001E-2</v>
      </c>
      <c r="BB65" s="6">
        <v>3.0300000000000001E-2</v>
      </c>
      <c r="BC65" s="6">
        <v>2.7799999999999998E-2</v>
      </c>
      <c r="BD65" s="6">
        <v>2.8500000000000001E-2</v>
      </c>
      <c r="BE65" s="6">
        <v>1.04E-2</v>
      </c>
      <c r="BF65" s="6">
        <v>1.9699999999999999E-2</v>
      </c>
      <c r="BG65" s="6">
        <v>1.17E-2</v>
      </c>
      <c r="BH65" s="6">
        <v>1.17E-2</v>
      </c>
      <c r="BI65" s="6">
        <v>1.2999999999999999E-2</v>
      </c>
      <c r="BJ65" s="6">
        <v>1.8800000000000001E-2</v>
      </c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3"/>
      <c r="CA65" s="3"/>
      <c r="CB65" s="3"/>
      <c r="CC65" s="3"/>
      <c r="CD65" s="3"/>
      <c r="CE65" s="3"/>
      <c r="CF65" s="3"/>
      <c r="CG65" s="3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</row>
    <row r="66" spans="2:116">
      <c r="B66" s="3" t="s">
        <v>383</v>
      </c>
      <c r="C66" s="7">
        <f t="shared" ref="C66:I66" si="372">D66</f>
        <v>118.18181818181817</v>
      </c>
      <c r="D66" s="7">
        <f t="shared" si="372"/>
        <v>118.18181818181817</v>
      </c>
      <c r="E66" s="7">
        <f t="shared" si="372"/>
        <v>118.18181818181817</v>
      </c>
      <c r="F66" s="7">
        <f t="shared" si="372"/>
        <v>118.18181818181817</v>
      </c>
      <c r="G66" s="7">
        <f t="shared" si="372"/>
        <v>118.18181818181817</v>
      </c>
      <c r="H66" s="7">
        <f t="shared" si="372"/>
        <v>118.18181818181817</v>
      </c>
      <c r="I66" s="7">
        <f t="shared" si="372"/>
        <v>118.18181818181817</v>
      </c>
      <c r="J66" s="7">
        <f>K66/(1-0.45)</f>
        <v>118.18181818181817</v>
      </c>
      <c r="K66" s="7">
        <v>65</v>
      </c>
      <c r="L66" s="7">
        <v>65</v>
      </c>
      <c r="M66" s="7">
        <v>65</v>
      </c>
      <c r="N66" s="7">
        <v>65</v>
      </c>
      <c r="O66" s="7">
        <v>65</v>
      </c>
      <c r="P66" s="7">
        <v>65</v>
      </c>
      <c r="Q66" s="7">
        <v>65</v>
      </c>
      <c r="R66" s="7">
        <v>65</v>
      </c>
      <c r="S66" s="7">
        <v>65</v>
      </c>
      <c r="T66" s="7">
        <v>65</v>
      </c>
      <c r="U66" s="7">
        <v>65</v>
      </c>
      <c r="V66" s="7">
        <v>65</v>
      </c>
      <c r="W66" s="7">
        <v>65</v>
      </c>
      <c r="X66" s="7">
        <v>65</v>
      </c>
      <c r="Y66" s="7">
        <v>65</v>
      </c>
      <c r="Z66" s="7">
        <v>65</v>
      </c>
      <c r="AA66" s="7">
        <v>65</v>
      </c>
      <c r="AB66" s="7">
        <v>65</v>
      </c>
      <c r="AC66" s="7">
        <v>65</v>
      </c>
      <c r="AD66" s="7">
        <v>65</v>
      </c>
      <c r="AE66" s="7">
        <f>((AD66*(1-0.73))*2+65*1)/3</f>
        <v>33.366666666666667</v>
      </c>
      <c r="AF66" s="7">
        <f>AC66*(1-0.73)</f>
        <v>17.55</v>
      </c>
      <c r="AG66" s="7">
        <f>AD66*(1-0.73)</f>
        <v>17.55</v>
      </c>
      <c r="AH66" s="7">
        <f>AG66</f>
        <v>17.55</v>
      </c>
      <c r="AI66" s="7">
        <f>((AH66*(1-0.16))*2+AH66*1)/3</f>
        <v>15.678000000000003</v>
      </c>
      <c r="AJ66" s="7">
        <f>((AH66*(1-0.16)))</f>
        <v>14.742000000000001</v>
      </c>
      <c r="AK66" s="7">
        <f t="shared" ref="AK66:BB66" si="373">AJ66</f>
        <v>14.742000000000001</v>
      </c>
      <c r="AL66" s="7">
        <f t="shared" si="373"/>
        <v>14.742000000000001</v>
      </c>
      <c r="AM66" s="7">
        <f t="shared" si="373"/>
        <v>14.742000000000001</v>
      </c>
      <c r="AN66" s="7">
        <f t="shared" si="373"/>
        <v>14.742000000000001</v>
      </c>
      <c r="AO66" s="7">
        <f t="shared" si="373"/>
        <v>14.742000000000001</v>
      </c>
      <c r="AP66" s="7">
        <f t="shared" si="373"/>
        <v>14.742000000000001</v>
      </c>
      <c r="AQ66" s="7">
        <f t="shared" si="373"/>
        <v>14.742000000000001</v>
      </c>
      <c r="AR66" s="7">
        <f t="shared" si="373"/>
        <v>14.742000000000001</v>
      </c>
      <c r="AS66" s="7">
        <f t="shared" si="373"/>
        <v>14.742000000000001</v>
      </c>
      <c r="AT66" s="7">
        <f t="shared" si="373"/>
        <v>14.742000000000001</v>
      </c>
      <c r="AU66" s="7">
        <f t="shared" si="373"/>
        <v>14.742000000000001</v>
      </c>
      <c r="AV66" s="7">
        <f t="shared" si="373"/>
        <v>14.742000000000001</v>
      </c>
      <c r="AW66" s="7">
        <f t="shared" si="373"/>
        <v>14.742000000000001</v>
      </c>
      <c r="AX66" s="7">
        <f t="shared" si="373"/>
        <v>14.742000000000001</v>
      </c>
      <c r="AY66" s="7">
        <f t="shared" si="373"/>
        <v>14.742000000000001</v>
      </c>
      <c r="AZ66" s="7">
        <f t="shared" si="373"/>
        <v>14.742000000000001</v>
      </c>
      <c r="BA66" s="7">
        <f t="shared" si="373"/>
        <v>14.742000000000001</v>
      </c>
      <c r="BB66" s="7">
        <f t="shared" si="373"/>
        <v>14.742000000000001</v>
      </c>
      <c r="BC66" s="7">
        <f t="shared" ref="BC66" si="374">BB66</f>
        <v>14.742000000000001</v>
      </c>
      <c r="BD66" s="7">
        <f t="shared" ref="BD66" si="375">BC66</f>
        <v>14.742000000000001</v>
      </c>
      <c r="BE66" s="7">
        <f t="shared" ref="BE66:BF66" si="376">BD66</f>
        <v>14.742000000000001</v>
      </c>
      <c r="BF66" s="7">
        <f t="shared" si="376"/>
        <v>14.742000000000001</v>
      </c>
      <c r="BG66" s="7">
        <f t="shared" ref="BG66" si="377">BF66</f>
        <v>14.742000000000001</v>
      </c>
      <c r="BH66" s="7">
        <f t="shared" ref="BH66" si="378">BG66</f>
        <v>14.742000000000001</v>
      </c>
      <c r="BI66" s="7">
        <f t="shared" ref="BI66" si="379">BH66</f>
        <v>14.742000000000001</v>
      </c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3"/>
      <c r="CA66" s="3"/>
      <c r="CB66" s="3"/>
      <c r="CC66" s="3"/>
      <c r="CD66" s="3"/>
      <c r="CE66" s="3"/>
      <c r="CF66" s="3"/>
      <c r="CG66" s="3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</row>
    <row r="67" spans="2:116">
      <c r="B67" s="3" t="s">
        <v>403</v>
      </c>
      <c r="C67" s="7"/>
      <c r="D67" s="7"/>
      <c r="E67" s="7"/>
      <c r="F67" s="7"/>
      <c r="G67" s="11"/>
      <c r="H67" s="11"/>
      <c r="I67" s="11"/>
      <c r="J67" s="11"/>
      <c r="K67" s="11"/>
      <c r="L67" s="11"/>
      <c r="M67" s="11">
        <f t="shared" ref="M67:U67" si="380">M66*100/M63</f>
        <v>11.913837130348211</v>
      </c>
      <c r="N67" s="11">
        <f t="shared" si="380"/>
        <v>12.553013805974304</v>
      </c>
      <c r="O67" s="11">
        <f t="shared" si="380"/>
        <v>12.529678923965632</v>
      </c>
      <c r="P67" s="11">
        <f t="shared" si="380"/>
        <v>12.250364393975195</v>
      </c>
      <c r="Q67" s="11">
        <f t="shared" si="380"/>
        <v>12.726076977636808</v>
      </c>
      <c r="R67" s="11">
        <f t="shared" si="380"/>
        <v>13.539692128231295</v>
      </c>
      <c r="S67" s="11">
        <f t="shared" si="380"/>
        <v>13.495802026965654</v>
      </c>
      <c r="T67" s="11">
        <f t="shared" si="380"/>
        <v>13.852472641776375</v>
      </c>
      <c r="U67" s="11">
        <f t="shared" si="380"/>
        <v>13.77303009551548</v>
      </c>
      <c r="V67" s="11">
        <f t="shared" ref="V67:AA67" si="381">V66*100/V63</f>
        <v>12.693199509456656</v>
      </c>
      <c r="W67" s="11">
        <f t="shared" si="381"/>
        <v>13.291701731067191</v>
      </c>
      <c r="X67" s="11">
        <f t="shared" si="381"/>
        <v>13.09714048349373</v>
      </c>
      <c r="Y67" s="11">
        <f t="shared" si="381"/>
        <v>13.475838061571663</v>
      </c>
      <c r="Z67" s="11">
        <f t="shared" si="381"/>
        <v>13.604432571485104</v>
      </c>
      <c r="AA67" s="11">
        <f t="shared" si="381"/>
        <v>13.75837450096954</v>
      </c>
      <c r="AB67" s="11">
        <f t="shared" ref="AB67:AL67" si="382">AB66*100/AB63</f>
        <v>13.406288929800549</v>
      </c>
      <c r="AC67" s="11">
        <f t="shared" si="382"/>
        <v>12.823881475051277</v>
      </c>
      <c r="AD67" s="11">
        <f t="shared" si="382"/>
        <v>12.57867905104569</v>
      </c>
      <c r="AE67" s="11">
        <f t="shared" si="382"/>
        <v>6.0495680438064872</v>
      </c>
      <c r="AF67" s="11">
        <f t="shared" si="382"/>
        <v>3.1635249113547457</v>
      </c>
      <c r="AG67" s="11">
        <f t="shared" si="382"/>
        <v>3.0386891793230633</v>
      </c>
      <c r="AH67" s="11">
        <f t="shared" si="382"/>
        <v>2.9327822413616742</v>
      </c>
      <c r="AI67" s="11">
        <f t="shared" si="382"/>
        <v>2.5104507038024853</v>
      </c>
      <c r="AJ67" s="11">
        <f t="shared" si="382"/>
        <v>2.3854368932038836</v>
      </c>
      <c r="AK67" s="11">
        <f t="shared" si="382"/>
        <v>2.1788143728853639</v>
      </c>
      <c r="AL67" s="11">
        <f t="shared" si="382"/>
        <v>2.112026131703054</v>
      </c>
      <c r="AM67" s="11">
        <f t="shared" ref="AM67:AN67" si="383">AM66*100/AM63</f>
        <v>2.1031775819087608</v>
      </c>
      <c r="AN67" s="11">
        <f t="shared" si="383"/>
        <v>2.1775480059084193</v>
      </c>
      <c r="AO67" s="11">
        <f t="shared" ref="AO67:AP67" si="384">AO66*100/AO63</f>
        <v>2.2268882175226588</v>
      </c>
      <c r="AP67" s="11">
        <f t="shared" si="384"/>
        <v>2.2168421052631579</v>
      </c>
      <c r="AQ67" s="11">
        <f t="shared" ref="AQ67:AR67" si="385">AQ66*100/AQ63</f>
        <v>2.2472560975609759</v>
      </c>
      <c r="AR67" s="11">
        <f t="shared" si="385"/>
        <v>2.2201807228915662</v>
      </c>
      <c r="AS67" s="11">
        <f t="shared" ref="AS67:AT67" si="386">AS66*100/AS63</f>
        <v>2.2201807228915662</v>
      </c>
      <c r="AT67" s="11">
        <f t="shared" si="386"/>
        <v>2.34</v>
      </c>
      <c r="AU67" s="11">
        <f t="shared" ref="AU67:AV67" si="387">AU66*100/AU63</f>
        <v>2.4481571308966816</v>
      </c>
      <c r="AV67" s="11">
        <f t="shared" si="387"/>
        <v>2.3703620514492494</v>
      </c>
      <c r="AW67" s="11">
        <f t="shared" ref="AW67:AX67" si="388">AW66*100/AW63</f>
        <v>2.2229583907788393</v>
      </c>
      <c r="AX67" s="11">
        <f t="shared" si="388"/>
        <v>2.1660044171733257</v>
      </c>
      <c r="AY67" s="11">
        <f t="shared" ref="AY67:AZ67" si="389">AY66*100/AY63</f>
        <v>2.2082441696112243</v>
      </c>
      <c r="AZ67" s="11">
        <f t="shared" si="389"/>
        <v>2.1568742643796672</v>
      </c>
      <c r="BA67" s="11">
        <f t="shared" ref="BA67:BB67" si="390">BA66*100/BA63</f>
        <v>2.0878963120424014</v>
      </c>
      <c r="BB67" s="11">
        <f t="shared" si="390"/>
        <v>1.952165943294468</v>
      </c>
      <c r="BC67" s="11">
        <f t="shared" ref="BC67:BE67" si="391">BC66*100/BC63</f>
        <v>1.8332400671516509</v>
      </c>
      <c r="BD67" s="11">
        <f t="shared" si="391"/>
        <v>1.7923139410238316</v>
      </c>
      <c r="BE67" s="11">
        <f t="shared" si="391"/>
        <v>1.8883390832616531</v>
      </c>
      <c r="BF67" s="11">
        <f t="shared" ref="BF67:BI67" si="392">BF66*100/BF63</f>
        <v>2.0002713704206241</v>
      </c>
      <c r="BG67" s="11">
        <f t="shared" si="392"/>
        <v>2.0002713704206241</v>
      </c>
      <c r="BH67" s="11">
        <f t="shared" si="392"/>
        <v>2.0002713704206241</v>
      </c>
      <c r="BI67" s="11">
        <f t="shared" si="392"/>
        <v>2.0002713704206241</v>
      </c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3"/>
      <c r="CA67" s="3"/>
      <c r="CB67" s="3"/>
      <c r="CC67" s="3"/>
      <c r="CD67" s="3"/>
      <c r="CE67" s="3"/>
      <c r="CF67" s="3"/>
      <c r="CG67" s="3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</row>
    <row r="68" spans="2:116">
      <c r="B68" s="3"/>
      <c r="C68" s="7"/>
      <c r="D68" s="7"/>
      <c r="E68" s="7"/>
      <c r="F68" s="7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3"/>
      <c r="CA68" s="3"/>
      <c r="CB68" s="3"/>
      <c r="CC68" s="3"/>
      <c r="CD68" s="3"/>
      <c r="CE68" s="3"/>
      <c r="CF68" s="3"/>
      <c r="CG68" s="3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</row>
    <row r="69" spans="2:116">
      <c r="B69" s="3"/>
      <c r="C69" s="7"/>
      <c r="D69" s="7"/>
      <c r="E69" s="7"/>
      <c r="F69" s="7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3"/>
      <c r="CA69" s="3"/>
      <c r="CB69" s="3"/>
      <c r="CC69" s="3"/>
      <c r="CD69" s="3"/>
      <c r="CE69" s="3"/>
      <c r="CF69" s="3"/>
      <c r="CG69" s="3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</row>
    <row r="70" spans="2:116">
      <c r="B70" s="3"/>
      <c r="C70" s="3"/>
      <c r="D70" s="3"/>
      <c r="E70" s="3"/>
      <c r="F70" s="5"/>
      <c r="G70" s="3"/>
      <c r="H70" s="3"/>
      <c r="I70" s="3"/>
      <c r="J70" s="3"/>
      <c r="K70" s="3"/>
      <c r="L70" s="3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3"/>
      <c r="CA70" s="3"/>
      <c r="CB70" s="3"/>
      <c r="CC70" s="3"/>
      <c r="CD70" s="3"/>
      <c r="CE70" s="3"/>
      <c r="CF70" s="3"/>
      <c r="CG70" s="3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</row>
    <row r="71" spans="2:116" hidden="1" outlineLevel="1">
      <c r="B71" s="3" t="s">
        <v>605</v>
      </c>
      <c r="C71" s="3"/>
      <c r="D71" s="7"/>
      <c r="E71" s="7"/>
      <c r="F71" s="7"/>
      <c r="G71" s="7"/>
      <c r="H71" s="7"/>
      <c r="I71" s="7">
        <f t="shared" ref="I71:W71" si="393">I85/AVERAGE(H4,I4)/3*1000</f>
        <v>10607.727233787373</v>
      </c>
      <c r="J71" s="7">
        <f t="shared" si="393"/>
        <v>11932.332095848802</v>
      </c>
      <c r="K71" s="7">
        <f t="shared" si="393"/>
        <v>10506.197654941372</v>
      </c>
      <c r="L71" s="7">
        <f t="shared" si="393"/>
        <v>9836.1363381545016</v>
      </c>
      <c r="M71" s="7">
        <f t="shared" si="393"/>
        <v>9977.6471562215411</v>
      </c>
      <c r="N71" s="7">
        <f t="shared" si="393"/>
        <v>10404.090174574161</v>
      </c>
      <c r="O71" s="7">
        <f t="shared" si="393"/>
        <v>9807.5459166730525</v>
      </c>
      <c r="P71" s="7">
        <f t="shared" si="393"/>
        <v>10283.243620414672</v>
      </c>
      <c r="Q71" s="7">
        <f t="shared" si="393"/>
        <v>9987.5770369291986</v>
      </c>
      <c r="R71" s="7">
        <f t="shared" si="393"/>
        <v>10831.841344167471</v>
      </c>
      <c r="S71" s="7">
        <f t="shared" si="393"/>
        <v>9903.2837630149133</v>
      </c>
      <c r="T71" s="7">
        <f t="shared" si="393"/>
        <v>9748.5144004803624</v>
      </c>
      <c r="U71" s="7">
        <f t="shared" si="393"/>
        <v>9495.7929955851196</v>
      </c>
      <c r="V71" s="7">
        <f t="shared" si="393"/>
        <v>9866.4939161784569</v>
      </c>
      <c r="W71" s="7">
        <f t="shared" si="393"/>
        <v>9543.8170197031322</v>
      </c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</row>
    <row r="72" spans="2:116" hidden="1" outlineLevel="1">
      <c r="B72" s="3" t="s">
        <v>400</v>
      </c>
      <c r="C72" s="3"/>
      <c r="D72" s="7"/>
      <c r="E72" s="7"/>
      <c r="F72" s="7"/>
      <c r="G72" s="7"/>
      <c r="H72" s="5"/>
      <c r="I72" s="5"/>
      <c r="J72" s="5"/>
      <c r="K72" s="5"/>
      <c r="L72" s="5"/>
      <c r="M72" s="5">
        <f>M71/I71-1</f>
        <v>-5.9398216383140245E-2</v>
      </c>
      <c r="N72" s="5">
        <f>N71/J71-1</f>
        <v>-0.12807571135288032</v>
      </c>
      <c r="O72" s="5">
        <f t="shared" ref="O72:W72" si="394">O71/K71-1</f>
        <v>-6.6499009557441813E-2</v>
      </c>
      <c r="P72" s="5">
        <f t="shared" si="394"/>
        <v>4.5455580005111962E-2</v>
      </c>
      <c r="Q72" s="5">
        <f t="shared" si="394"/>
        <v>9.9521265406399273E-4</v>
      </c>
      <c r="R72" s="5">
        <f t="shared" si="394"/>
        <v>4.1113750689960593E-2</v>
      </c>
      <c r="S72" s="5">
        <f t="shared" si="394"/>
        <v>9.7616516053322666E-3</v>
      </c>
      <c r="T72" s="5">
        <f t="shared" si="394"/>
        <v>-5.2000053647736744E-2</v>
      </c>
      <c r="U72" s="5">
        <f t="shared" si="394"/>
        <v>-4.923957427569281E-2</v>
      </c>
      <c r="V72" s="5">
        <f t="shared" si="394"/>
        <v>-8.912126731885861E-2</v>
      </c>
      <c r="W72" s="5">
        <f t="shared" si="394"/>
        <v>-3.6297732339474753E-2</v>
      </c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</row>
    <row r="73" spans="2:116" hidden="1" outlineLevel="1">
      <c r="B73" s="3" t="s">
        <v>39</v>
      </c>
      <c r="C73" s="7">
        <f t="shared" ref="C73:V73" si="395">C85-C25</f>
        <v>155627.30303030304</v>
      </c>
      <c r="D73" s="7">
        <f t="shared" si="395"/>
        <v>160061.44444444444</v>
      </c>
      <c r="E73" s="7">
        <f t="shared" si="395"/>
        <v>164626</v>
      </c>
      <c r="F73" s="7">
        <f t="shared" si="395"/>
        <v>182603</v>
      </c>
      <c r="G73" s="7">
        <f t="shared" si="395"/>
        <v>165857</v>
      </c>
      <c r="H73" s="7">
        <f t="shared" si="395"/>
        <v>163784</v>
      </c>
      <c r="I73" s="7">
        <f t="shared" si="395"/>
        <v>166984</v>
      </c>
      <c r="J73" s="7">
        <f t="shared" si="395"/>
        <v>190553</v>
      </c>
      <c r="K73" s="7">
        <f t="shared" si="395"/>
        <v>166356</v>
      </c>
      <c r="L73" s="7">
        <f t="shared" si="395"/>
        <v>151616</v>
      </c>
      <c r="M73" s="7">
        <f t="shared" si="395"/>
        <v>155475</v>
      </c>
      <c r="N73" s="7">
        <f t="shared" si="395"/>
        <v>167822</v>
      </c>
      <c r="O73" s="7">
        <f t="shared" si="395"/>
        <v>161819</v>
      </c>
      <c r="P73" s="7">
        <f t="shared" si="395"/>
        <v>171417</v>
      </c>
      <c r="Q73" s="7">
        <f t="shared" si="395"/>
        <v>167291</v>
      </c>
      <c r="R73" s="7">
        <f t="shared" si="395"/>
        <v>191420</v>
      </c>
      <c r="S73" s="7">
        <f t="shared" si="395"/>
        <v>182401</v>
      </c>
      <c r="T73" s="7">
        <f t="shared" si="395"/>
        <v>184039</v>
      </c>
      <c r="U73" s="7">
        <f t="shared" si="395"/>
        <v>185320</v>
      </c>
      <c r="V73" s="7">
        <f t="shared" si="395"/>
        <v>206638</v>
      </c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8">
        <f t="shared" ref="BZ73:DK73" si="396">O73/K73-1</f>
        <v>-2.7272836567361569E-2</v>
      </c>
      <c r="CA73" s="8">
        <f t="shared" si="396"/>
        <v>0.13059967285774587</v>
      </c>
      <c r="CB73" s="8">
        <f t="shared" si="396"/>
        <v>7.5999356809776542E-2</v>
      </c>
      <c r="CC73" s="8">
        <f t="shared" si="396"/>
        <v>0.14061326882053615</v>
      </c>
      <c r="CD73" s="8">
        <f t="shared" si="396"/>
        <v>0.12719149172841271</v>
      </c>
      <c r="CE73" s="8">
        <f t="shared" si="396"/>
        <v>7.3633303581325027E-2</v>
      </c>
      <c r="CF73" s="8">
        <f t="shared" si="396"/>
        <v>0.10777029248435355</v>
      </c>
      <c r="CG73" s="8">
        <f t="shared" si="396"/>
        <v>7.9500574652596301E-2</v>
      </c>
      <c r="CH73" s="8">
        <f t="shared" si="396"/>
        <v>-1</v>
      </c>
      <c r="CI73" s="8">
        <f t="shared" si="396"/>
        <v>-1</v>
      </c>
      <c r="CJ73" s="8">
        <f t="shared" si="396"/>
        <v>-1</v>
      </c>
      <c r="CK73" s="8">
        <f t="shared" si="396"/>
        <v>-1</v>
      </c>
      <c r="CL73" s="8" t="e">
        <f t="shared" si="396"/>
        <v>#DIV/0!</v>
      </c>
      <c r="CM73" s="8" t="e">
        <f t="shared" si="396"/>
        <v>#DIV/0!</v>
      </c>
      <c r="CN73" s="8" t="e">
        <f t="shared" si="396"/>
        <v>#DIV/0!</v>
      </c>
      <c r="CO73" s="8" t="e">
        <f t="shared" si="396"/>
        <v>#DIV/0!</v>
      </c>
      <c r="CP73" s="8" t="e">
        <f t="shared" si="396"/>
        <v>#DIV/0!</v>
      </c>
      <c r="CQ73" s="8" t="e">
        <f t="shared" si="396"/>
        <v>#DIV/0!</v>
      </c>
      <c r="CR73" s="8" t="e">
        <f t="shared" si="396"/>
        <v>#DIV/0!</v>
      </c>
      <c r="CS73" s="8" t="e">
        <f t="shared" si="396"/>
        <v>#DIV/0!</v>
      </c>
      <c r="CT73" s="8" t="e">
        <f t="shared" si="396"/>
        <v>#DIV/0!</v>
      </c>
      <c r="CU73" s="8" t="e">
        <f t="shared" si="396"/>
        <v>#DIV/0!</v>
      </c>
      <c r="CV73" s="8" t="e">
        <f t="shared" si="396"/>
        <v>#DIV/0!</v>
      </c>
      <c r="CW73" s="8" t="e">
        <f t="shared" si="396"/>
        <v>#DIV/0!</v>
      </c>
      <c r="CX73" s="8" t="e">
        <f t="shared" si="396"/>
        <v>#DIV/0!</v>
      </c>
      <c r="CY73" s="8" t="e">
        <f t="shared" si="396"/>
        <v>#DIV/0!</v>
      </c>
      <c r="CZ73" s="8" t="e">
        <f t="shared" si="396"/>
        <v>#DIV/0!</v>
      </c>
      <c r="DA73" s="8" t="e">
        <f t="shared" si="396"/>
        <v>#DIV/0!</v>
      </c>
      <c r="DB73" s="8" t="e">
        <f t="shared" si="396"/>
        <v>#DIV/0!</v>
      </c>
      <c r="DC73" s="8" t="e">
        <f t="shared" si="396"/>
        <v>#DIV/0!</v>
      </c>
      <c r="DD73" s="8" t="e">
        <f t="shared" si="396"/>
        <v>#DIV/0!</v>
      </c>
      <c r="DE73" s="8" t="e">
        <f t="shared" si="396"/>
        <v>#DIV/0!</v>
      </c>
      <c r="DF73" s="8" t="e">
        <f t="shared" si="396"/>
        <v>#DIV/0!</v>
      </c>
      <c r="DG73" s="8" t="e">
        <f t="shared" si="396"/>
        <v>#DIV/0!</v>
      </c>
      <c r="DH73" s="8" t="e">
        <f t="shared" si="396"/>
        <v>#DIV/0!</v>
      </c>
      <c r="DI73" s="8" t="e">
        <f t="shared" si="396"/>
        <v>#DIV/0!</v>
      </c>
      <c r="DJ73" s="8" t="e">
        <f t="shared" si="396"/>
        <v>#DIV/0!</v>
      </c>
      <c r="DK73" s="8" t="e">
        <f t="shared" si="396"/>
        <v>#DIV/0!</v>
      </c>
      <c r="DL73" s="8"/>
    </row>
    <row r="74" spans="2:116" hidden="1" outlineLevel="1">
      <c r="B74" s="3"/>
      <c r="C74" s="7"/>
      <c r="D74" s="7"/>
      <c r="E74" s="7"/>
      <c r="F74" s="7"/>
      <c r="G74" s="5">
        <f t="shared" ref="G74:N74" si="397">G73/C73-1</f>
        <v>6.5732019835266886E-2</v>
      </c>
      <c r="H74" s="5">
        <f t="shared" si="397"/>
        <v>2.3257040872498358E-2</v>
      </c>
      <c r="I74" s="5">
        <f t="shared" si="397"/>
        <v>1.4323375408501704E-2</v>
      </c>
      <c r="J74" s="5">
        <f t="shared" si="397"/>
        <v>4.3537072227729068E-2</v>
      </c>
      <c r="K74" s="5">
        <f t="shared" si="397"/>
        <v>3.0086158558275677E-3</v>
      </c>
      <c r="L74" s="5">
        <f t="shared" si="397"/>
        <v>-7.4292971230401017E-2</v>
      </c>
      <c r="M74" s="5">
        <f t="shared" si="397"/>
        <v>-6.8922771043932407E-2</v>
      </c>
      <c r="N74" s="5">
        <f t="shared" si="397"/>
        <v>-0.11928964645006901</v>
      </c>
      <c r="O74" s="5">
        <f t="shared" ref="O74:V74" si="398">O73/K73-1</f>
        <v>-2.7272836567361569E-2</v>
      </c>
      <c r="P74" s="5">
        <f t="shared" si="398"/>
        <v>0.13059967285774587</v>
      </c>
      <c r="Q74" s="5">
        <f t="shared" si="398"/>
        <v>7.5999356809776542E-2</v>
      </c>
      <c r="R74" s="5">
        <f t="shared" si="398"/>
        <v>0.14061326882053615</v>
      </c>
      <c r="S74" s="5">
        <f t="shared" si="398"/>
        <v>0.12719149172841271</v>
      </c>
      <c r="T74" s="5">
        <f t="shared" si="398"/>
        <v>7.3633303581325027E-2</v>
      </c>
      <c r="U74" s="5">
        <f t="shared" si="398"/>
        <v>0.10777029248435355</v>
      </c>
      <c r="V74" s="5">
        <f t="shared" si="398"/>
        <v>7.9500574652596301E-2</v>
      </c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</row>
    <row r="75" spans="2:116" hidden="1" outlineLevel="1">
      <c r="B75" s="3" t="s">
        <v>57</v>
      </c>
      <c r="C75" s="3"/>
      <c r="D75" s="3"/>
      <c r="E75" s="3"/>
      <c r="F75" s="8">
        <v>0.16550000000000001</v>
      </c>
      <c r="G75" s="8">
        <v>0.14080000000000001</v>
      </c>
      <c r="H75" s="8">
        <v>0.14979999999999999</v>
      </c>
      <c r="I75" s="8">
        <v>0.158</v>
      </c>
      <c r="J75" s="8">
        <v>0.17</v>
      </c>
      <c r="K75" s="8">
        <v>0.1696</v>
      </c>
      <c r="L75" s="8">
        <v>0.19</v>
      </c>
      <c r="M75" s="8">
        <v>0.19500000000000001</v>
      </c>
      <c r="N75" s="8">
        <v>0.21</v>
      </c>
      <c r="O75" s="8">
        <v>0.22</v>
      </c>
      <c r="P75" s="8">
        <v>0.24</v>
      </c>
      <c r="Q75" s="8">
        <v>0.25</v>
      </c>
      <c r="R75" s="8">
        <v>0.27</v>
      </c>
      <c r="S75" s="8">
        <v>0.27</v>
      </c>
      <c r="T75" s="8">
        <v>0.28999999999999998</v>
      </c>
      <c r="U75" s="8">
        <v>0.3</v>
      </c>
      <c r="V75" s="8">
        <v>0.28999999999999998</v>
      </c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3"/>
      <c r="CA75" s="3"/>
      <c r="CB75" s="3"/>
      <c r="CC75" s="3"/>
      <c r="CD75" s="3"/>
      <c r="CE75" s="3"/>
      <c r="CF75" s="3"/>
      <c r="CG75" s="3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</row>
    <row r="76" spans="2:116" hidden="1" outlineLevel="1">
      <c r="B76" s="3" t="s">
        <v>58</v>
      </c>
      <c r="C76" s="3"/>
      <c r="D76" s="3"/>
      <c r="E76" s="3"/>
      <c r="F76" s="3"/>
      <c r="G76" s="3"/>
      <c r="H76" s="3"/>
      <c r="I76" s="3"/>
      <c r="J76" s="3"/>
      <c r="K76" s="7">
        <f t="shared" ref="K76:V76" si="399">K25/K75</f>
        <v>128596.69811320755</v>
      </c>
      <c r="L76" s="7">
        <f t="shared" si="399"/>
        <v>125478.94736842105</v>
      </c>
      <c r="M76" s="7">
        <f t="shared" si="399"/>
        <v>129769.23076923077</v>
      </c>
      <c r="N76" s="7">
        <f t="shared" si="399"/>
        <v>135952.38095238095</v>
      </c>
      <c r="O76" s="7">
        <f t="shared" si="399"/>
        <v>137040.90909090909</v>
      </c>
      <c r="P76" s="7">
        <f t="shared" si="399"/>
        <v>145441.66666666669</v>
      </c>
      <c r="Q76" s="7">
        <f t="shared" si="399"/>
        <v>154092</v>
      </c>
      <c r="R76" s="7">
        <f t="shared" si="399"/>
        <v>164925.92592592593</v>
      </c>
      <c r="S76" s="7">
        <f t="shared" si="399"/>
        <v>171666.66666666666</v>
      </c>
      <c r="T76" s="7">
        <f t="shared" si="399"/>
        <v>177148.27586206899</v>
      </c>
      <c r="U76" s="7">
        <f t="shared" si="399"/>
        <v>181670</v>
      </c>
      <c r="V76" s="7">
        <f t="shared" si="399"/>
        <v>193403.44827586209</v>
      </c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8">
        <f t="shared" ref="BZ76:DK76" si="400">O76/K76-1</f>
        <v>6.5664290775707457E-2</v>
      </c>
      <c r="CA76" s="8">
        <f t="shared" si="400"/>
        <v>0.15909218013785797</v>
      </c>
      <c r="CB76" s="8">
        <f t="shared" si="400"/>
        <v>0.18743094250148196</v>
      </c>
      <c r="CC76" s="8">
        <f t="shared" si="400"/>
        <v>0.21311539209963026</v>
      </c>
      <c r="CD76" s="8">
        <f t="shared" si="400"/>
        <v>0.25266730792618874</v>
      </c>
      <c r="CE76" s="8">
        <f t="shared" si="400"/>
        <v>0.21800224050010164</v>
      </c>
      <c r="CF76" s="8">
        <f t="shared" si="400"/>
        <v>0.17897100433507251</v>
      </c>
      <c r="CG76" s="8">
        <f t="shared" si="400"/>
        <v>0.17266856129536867</v>
      </c>
      <c r="CH76" s="8">
        <f t="shared" si="400"/>
        <v>-1</v>
      </c>
      <c r="CI76" s="8">
        <f t="shared" si="400"/>
        <v>-1</v>
      </c>
      <c r="CJ76" s="8">
        <f t="shared" si="400"/>
        <v>-1</v>
      </c>
      <c r="CK76" s="8">
        <f t="shared" si="400"/>
        <v>-1</v>
      </c>
      <c r="CL76" s="8" t="e">
        <f t="shared" si="400"/>
        <v>#DIV/0!</v>
      </c>
      <c r="CM76" s="8" t="e">
        <f t="shared" si="400"/>
        <v>#DIV/0!</v>
      </c>
      <c r="CN76" s="8" t="e">
        <f t="shared" si="400"/>
        <v>#DIV/0!</v>
      </c>
      <c r="CO76" s="8" t="e">
        <f t="shared" si="400"/>
        <v>#DIV/0!</v>
      </c>
      <c r="CP76" s="8" t="e">
        <f t="shared" si="400"/>
        <v>#DIV/0!</v>
      </c>
      <c r="CQ76" s="8" t="e">
        <f t="shared" si="400"/>
        <v>#DIV/0!</v>
      </c>
      <c r="CR76" s="8" t="e">
        <f t="shared" si="400"/>
        <v>#DIV/0!</v>
      </c>
      <c r="CS76" s="8" t="e">
        <f t="shared" si="400"/>
        <v>#DIV/0!</v>
      </c>
      <c r="CT76" s="8" t="e">
        <f t="shared" si="400"/>
        <v>#DIV/0!</v>
      </c>
      <c r="CU76" s="8" t="e">
        <f t="shared" si="400"/>
        <v>#DIV/0!</v>
      </c>
      <c r="CV76" s="8" t="e">
        <f t="shared" si="400"/>
        <v>#DIV/0!</v>
      </c>
      <c r="CW76" s="8" t="e">
        <f t="shared" si="400"/>
        <v>#DIV/0!</v>
      </c>
      <c r="CX76" s="8" t="e">
        <f t="shared" si="400"/>
        <v>#DIV/0!</v>
      </c>
      <c r="CY76" s="8" t="e">
        <f t="shared" si="400"/>
        <v>#DIV/0!</v>
      </c>
      <c r="CZ76" s="8" t="e">
        <f t="shared" si="400"/>
        <v>#DIV/0!</v>
      </c>
      <c r="DA76" s="8" t="e">
        <f t="shared" si="400"/>
        <v>#DIV/0!</v>
      </c>
      <c r="DB76" s="8" t="e">
        <f t="shared" si="400"/>
        <v>#DIV/0!</v>
      </c>
      <c r="DC76" s="8" t="e">
        <f t="shared" si="400"/>
        <v>#DIV/0!</v>
      </c>
      <c r="DD76" s="8" t="e">
        <f t="shared" si="400"/>
        <v>#DIV/0!</v>
      </c>
      <c r="DE76" s="8" t="e">
        <f t="shared" si="400"/>
        <v>#DIV/0!</v>
      </c>
      <c r="DF76" s="8" t="e">
        <f t="shared" si="400"/>
        <v>#DIV/0!</v>
      </c>
      <c r="DG76" s="8" t="e">
        <f t="shared" si="400"/>
        <v>#DIV/0!</v>
      </c>
      <c r="DH76" s="8" t="e">
        <f t="shared" si="400"/>
        <v>#DIV/0!</v>
      </c>
      <c r="DI76" s="8" t="e">
        <f t="shared" si="400"/>
        <v>#DIV/0!</v>
      </c>
      <c r="DJ76" s="8" t="e">
        <f t="shared" si="400"/>
        <v>#DIV/0!</v>
      </c>
      <c r="DK76" s="8" t="e">
        <f t="shared" si="400"/>
        <v>#DIV/0!</v>
      </c>
      <c r="DL76" s="8"/>
    </row>
    <row r="77" spans="2:116" hidden="1" outlineLevel="1">
      <c r="B77" s="3"/>
      <c r="C77" s="3"/>
      <c r="D77" s="3"/>
      <c r="E77" s="3"/>
      <c r="F77" s="3"/>
      <c r="G77" s="3"/>
      <c r="H77" s="3"/>
      <c r="I77" s="3"/>
      <c r="J77" s="3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3" t="s">
        <v>38</v>
      </c>
      <c r="CA77" s="3" t="s">
        <v>38</v>
      </c>
      <c r="CB77" s="3" t="s">
        <v>38</v>
      </c>
      <c r="CC77" s="3"/>
      <c r="CD77" s="3"/>
      <c r="CE77" s="3"/>
      <c r="CF77" s="3"/>
      <c r="CG77" s="3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</row>
    <row r="78" spans="2:116" hidden="1" outlineLevel="1">
      <c r="B78" s="3" t="s">
        <v>55</v>
      </c>
      <c r="C78" s="3"/>
      <c r="D78" s="3"/>
      <c r="E78" s="3"/>
      <c r="F78" s="3"/>
      <c r="G78" s="3"/>
      <c r="H78" s="3"/>
      <c r="I78" s="3"/>
      <c r="J78" s="3"/>
      <c r="K78" s="7">
        <f t="shared" ref="K78:V78" si="401">K76-K25</f>
        <v>106786.69811320755</v>
      </c>
      <c r="L78" s="7">
        <f t="shared" si="401"/>
        <v>101637.94736842105</v>
      </c>
      <c r="M78" s="7">
        <f t="shared" si="401"/>
        <v>104464.23076923077</v>
      </c>
      <c r="N78" s="7">
        <f t="shared" si="401"/>
        <v>107402.38095238095</v>
      </c>
      <c r="O78" s="7">
        <f t="shared" si="401"/>
        <v>106891.90909090909</v>
      </c>
      <c r="P78" s="7">
        <f t="shared" si="401"/>
        <v>110535.66666666669</v>
      </c>
      <c r="Q78" s="7">
        <f t="shared" si="401"/>
        <v>115569</v>
      </c>
      <c r="R78" s="7">
        <f t="shared" si="401"/>
        <v>120395.92592592593</v>
      </c>
      <c r="S78" s="7">
        <f t="shared" si="401"/>
        <v>125316.66666666666</v>
      </c>
      <c r="T78" s="7">
        <f t="shared" si="401"/>
        <v>125775.27586206899</v>
      </c>
      <c r="U78" s="7">
        <f t="shared" si="401"/>
        <v>127169</v>
      </c>
      <c r="V78" s="7">
        <f t="shared" si="401"/>
        <v>137316.44827586209</v>
      </c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8">
        <f t="shared" ref="BZ78:CI79" si="402">O78/K78-1</f>
        <v>9.8524422573675885E-4</v>
      </c>
      <c r="CA78" s="8">
        <f t="shared" si="402"/>
        <v>8.7543280129348089E-2</v>
      </c>
      <c r="CB78" s="8">
        <f t="shared" si="402"/>
        <v>0.10630212034299569</v>
      </c>
      <c r="CC78" s="8">
        <f t="shared" si="402"/>
        <v>0.1209800458642154</v>
      </c>
      <c r="CD78" s="8">
        <f t="shared" si="402"/>
        <v>0.17236812152066383</v>
      </c>
      <c r="CE78" s="8">
        <f t="shared" si="402"/>
        <v>0.13787051415141094</v>
      </c>
      <c r="CF78" s="8">
        <f t="shared" si="402"/>
        <v>0.10037293737940112</v>
      </c>
      <c r="CG78" s="8">
        <f t="shared" si="402"/>
        <v>0.14054065550645434</v>
      </c>
      <c r="CH78" s="8">
        <f t="shared" si="402"/>
        <v>-1</v>
      </c>
      <c r="CI78" s="8">
        <f t="shared" si="402"/>
        <v>-1</v>
      </c>
      <c r="CJ78" s="8">
        <f t="shared" ref="CJ78:CS79" si="403">Y78/U78-1</f>
        <v>-1</v>
      </c>
      <c r="CK78" s="8">
        <f t="shared" si="403"/>
        <v>-1</v>
      </c>
      <c r="CL78" s="8" t="e">
        <f t="shared" si="403"/>
        <v>#DIV/0!</v>
      </c>
      <c r="CM78" s="8" t="e">
        <f t="shared" si="403"/>
        <v>#DIV/0!</v>
      </c>
      <c r="CN78" s="8" t="e">
        <f t="shared" si="403"/>
        <v>#DIV/0!</v>
      </c>
      <c r="CO78" s="8" t="e">
        <f t="shared" si="403"/>
        <v>#DIV/0!</v>
      </c>
      <c r="CP78" s="8" t="e">
        <f t="shared" si="403"/>
        <v>#DIV/0!</v>
      </c>
      <c r="CQ78" s="8" t="e">
        <f t="shared" si="403"/>
        <v>#DIV/0!</v>
      </c>
      <c r="CR78" s="8" t="e">
        <f t="shared" si="403"/>
        <v>#DIV/0!</v>
      </c>
      <c r="CS78" s="8" t="e">
        <f t="shared" si="403"/>
        <v>#DIV/0!</v>
      </c>
      <c r="CT78" s="8" t="e">
        <f t="shared" ref="CT78:DC79" si="404">AI78/AE78-1</f>
        <v>#DIV/0!</v>
      </c>
      <c r="CU78" s="8" t="e">
        <f t="shared" si="404"/>
        <v>#DIV/0!</v>
      </c>
      <c r="CV78" s="8" t="e">
        <f t="shared" si="404"/>
        <v>#DIV/0!</v>
      </c>
      <c r="CW78" s="8" t="e">
        <f t="shared" si="404"/>
        <v>#DIV/0!</v>
      </c>
      <c r="CX78" s="8" t="e">
        <f t="shared" si="404"/>
        <v>#DIV/0!</v>
      </c>
      <c r="CY78" s="8" t="e">
        <f t="shared" si="404"/>
        <v>#DIV/0!</v>
      </c>
      <c r="CZ78" s="8" t="e">
        <f t="shared" si="404"/>
        <v>#DIV/0!</v>
      </c>
      <c r="DA78" s="8" t="e">
        <f t="shared" si="404"/>
        <v>#DIV/0!</v>
      </c>
      <c r="DB78" s="8" t="e">
        <f t="shared" si="404"/>
        <v>#DIV/0!</v>
      </c>
      <c r="DC78" s="8" t="e">
        <f t="shared" si="404"/>
        <v>#DIV/0!</v>
      </c>
      <c r="DD78" s="8" t="e">
        <f t="shared" ref="DD78:DK79" si="405">AS78/AO78-1</f>
        <v>#DIV/0!</v>
      </c>
      <c r="DE78" s="8" t="e">
        <f t="shared" si="405"/>
        <v>#DIV/0!</v>
      </c>
      <c r="DF78" s="8" t="e">
        <f t="shared" si="405"/>
        <v>#DIV/0!</v>
      </c>
      <c r="DG78" s="8" t="e">
        <f t="shared" si="405"/>
        <v>#DIV/0!</v>
      </c>
      <c r="DH78" s="8" t="e">
        <f t="shared" si="405"/>
        <v>#DIV/0!</v>
      </c>
      <c r="DI78" s="8" t="e">
        <f t="shared" si="405"/>
        <v>#DIV/0!</v>
      </c>
      <c r="DJ78" s="8" t="e">
        <f t="shared" si="405"/>
        <v>#DIV/0!</v>
      </c>
      <c r="DK78" s="8" t="e">
        <f t="shared" si="405"/>
        <v>#DIV/0!</v>
      </c>
      <c r="DL78" s="8"/>
    </row>
    <row r="79" spans="2:116" hidden="1" outlineLevel="1">
      <c r="B79" s="3" t="s">
        <v>56</v>
      </c>
      <c r="C79" s="3"/>
      <c r="D79" s="3"/>
      <c r="E79" s="3"/>
      <c r="F79" s="3"/>
      <c r="G79" s="3"/>
      <c r="H79" s="3"/>
      <c r="I79" s="3"/>
      <c r="J79" s="3"/>
      <c r="K79" s="7">
        <f>K73-K78</f>
        <v>59569.301886792455</v>
      </c>
      <c r="L79" s="7">
        <f>L73-L78</f>
        <v>49978.052631578947</v>
      </c>
      <c r="M79" s="7">
        <f>M73-M78</f>
        <v>51010.769230769234</v>
      </c>
      <c r="N79" s="7">
        <f t="shared" ref="N79:T79" si="406">N73-N78</f>
        <v>60419.619047619053</v>
      </c>
      <c r="O79" s="7">
        <f t="shared" si="406"/>
        <v>54927.090909090912</v>
      </c>
      <c r="P79" s="7">
        <f t="shared" si="406"/>
        <v>60881.333333333314</v>
      </c>
      <c r="Q79" s="7">
        <f t="shared" si="406"/>
        <v>51722</v>
      </c>
      <c r="R79" s="7">
        <f t="shared" si="406"/>
        <v>71024.074074074073</v>
      </c>
      <c r="S79" s="7">
        <f t="shared" si="406"/>
        <v>57084.333333333343</v>
      </c>
      <c r="T79" s="7">
        <f t="shared" si="406"/>
        <v>58263.724137931014</v>
      </c>
      <c r="U79" s="7">
        <f>U73-U78</f>
        <v>58151</v>
      </c>
      <c r="V79" s="7">
        <f>V73-V78</f>
        <v>69321.551724137913</v>
      </c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8">
        <f t="shared" si="402"/>
        <v>-7.7929585049087202E-2</v>
      </c>
      <c r="CA79" s="8">
        <f t="shared" si="402"/>
        <v>0.21816137539670888</v>
      </c>
      <c r="CB79" s="8">
        <f t="shared" si="402"/>
        <v>1.3942757185511301E-2</v>
      </c>
      <c r="CC79" s="8">
        <f t="shared" si="402"/>
        <v>0.175513437416698</v>
      </c>
      <c r="CD79" s="8">
        <f t="shared" si="402"/>
        <v>3.9274652790420861E-2</v>
      </c>
      <c r="CE79" s="8">
        <f t="shared" si="402"/>
        <v>-4.2995267220422795E-2</v>
      </c>
      <c r="CF79" s="8">
        <f t="shared" si="402"/>
        <v>0.12429913769769141</v>
      </c>
      <c r="CG79" s="8">
        <f t="shared" si="402"/>
        <v>-2.3971060124775789E-2</v>
      </c>
      <c r="CH79" s="8">
        <f t="shared" si="402"/>
        <v>-1</v>
      </c>
      <c r="CI79" s="8">
        <f t="shared" si="402"/>
        <v>-1</v>
      </c>
      <c r="CJ79" s="8">
        <f t="shared" si="403"/>
        <v>-1</v>
      </c>
      <c r="CK79" s="8">
        <f t="shared" si="403"/>
        <v>-1</v>
      </c>
      <c r="CL79" s="8" t="e">
        <f t="shared" si="403"/>
        <v>#DIV/0!</v>
      </c>
      <c r="CM79" s="8" t="e">
        <f t="shared" si="403"/>
        <v>#DIV/0!</v>
      </c>
      <c r="CN79" s="8" t="e">
        <f t="shared" si="403"/>
        <v>#DIV/0!</v>
      </c>
      <c r="CO79" s="8" t="e">
        <f t="shared" si="403"/>
        <v>#DIV/0!</v>
      </c>
      <c r="CP79" s="8" t="e">
        <f t="shared" si="403"/>
        <v>#DIV/0!</v>
      </c>
      <c r="CQ79" s="8" t="e">
        <f t="shared" si="403"/>
        <v>#DIV/0!</v>
      </c>
      <c r="CR79" s="8" t="e">
        <f t="shared" si="403"/>
        <v>#DIV/0!</v>
      </c>
      <c r="CS79" s="8" t="e">
        <f t="shared" si="403"/>
        <v>#DIV/0!</v>
      </c>
      <c r="CT79" s="8" t="e">
        <f t="shared" si="404"/>
        <v>#DIV/0!</v>
      </c>
      <c r="CU79" s="8" t="e">
        <f t="shared" si="404"/>
        <v>#DIV/0!</v>
      </c>
      <c r="CV79" s="8" t="e">
        <f t="shared" si="404"/>
        <v>#DIV/0!</v>
      </c>
      <c r="CW79" s="8" t="e">
        <f t="shared" si="404"/>
        <v>#DIV/0!</v>
      </c>
      <c r="CX79" s="8" t="e">
        <f t="shared" si="404"/>
        <v>#DIV/0!</v>
      </c>
      <c r="CY79" s="8" t="e">
        <f t="shared" si="404"/>
        <v>#DIV/0!</v>
      </c>
      <c r="CZ79" s="8" t="e">
        <f t="shared" si="404"/>
        <v>#DIV/0!</v>
      </c>
      <c r="DA79" s="8" t="e">
        <f t="shared" si="404"/>
        <v>#DIV/0!</v>
      </c>
      <c r="DB79" s="8" t="e">
        <f t="shared" si="404"/>
        <v>#DIV/0!</v>
      </c>
      <c r="DC79" s="8" t="e">
        <f t="shared" si="404"/>
        <v>#DIV/0!</v>
      </c>
      <c r="DD79" s="8" t="e">
        <f t="shared" si="405"/>
        <v>#DIV/0!</v>
      </c>
      <c r="DE79" s="8" t="e">
        <f t="shared" si="405"/>
        <v>#DIV/0!</v>
      </c>
      <c r="DF79" s="8" t="e">
        <f t="shared" si="405"/>
        <v>#DIV/0!</v>
      </c>
      <c r="DG79" s="8" t="e">
        <f t="shared" si="405"/>
        <v>#DIV/0!</v>
      </c>
      <c r="DH79" s="8" t="e">
        <f t="shared" si="405"/>
        <v>#DIV/0!</v>
      </c>
      <c r="DI79" s="8" t="e">
        <f t="shared" si="405"/>
        <v>#DIV/0!</v>
      </c>
      <c r="DJ79" s="8" t="e">
        <f t="shared" si="405"/>
        <v>#DIV/0!</v>
      </c>
      <c r="DK79" s="8" t="e">
        <f t="shared" si="405"/>
        <v>#DIV/0!</v>
      </c>
      <c r="DL79" s="8"/>
    </row>
    <row r="80" spans="2:116" hidden="1" outlineLevel="1">
      <c r="B80" s="3"/>
      <c r="C80" s="3"/>
      <c r="D80" s="3"/>
      <c r="E80" s="3"/>
      <c r="F80" s="3"/>
      <c r="G80" s="3"/>
      <c r="H80" s="3"/>
      <c r="I80" s="3"/>
      <c r="J80" s="3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3"/>
      <c r="CA80" s="3"/>
      <c r="CB80" s="3"/>
      <c r="CC80" s="3"/>
      <c r="CD80" s="3"/>
      <c r="CE80" s="3"/>
      <c r="CF80" s="3"/>
      <c r="CG80" s="3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</row>
    <row r="81" spans="2:116" hidden="1" outlineLevel="1">
      <c r="B81" s="3" t="s">
        <v>365</v>
      </c>
      <c r="C81" s="3"/>
      <c r="D81" s="3"/>
      <c r="E81" s="3"/>
      <c r="F81" s="3"/>
      <c r="G81" s="3"/>
      <c r="H81" s="3"/>
      <c r="I81" s="3"/>
      <c r="J81" s="3"/>
      <c r="K81" s="7">
        <f>K83-K82</f>
        <v>188969.36222688033</v>
      </c>
      <c r="L81" s="7">
        <f>L83-L82</f>
        <v>174899.91728685459</v>
      </c>
      <c r="M81" s="7">
        <f>M83-M82</f>
        <v>181043.24984222266</v>
      </c>
      <c r="N81" s="7">
        <f t="shared" ref="N81:V81" si="407">N82+N83</f>
        <v>198544</v>
      </c>
      <c r="O81" s="7">
        <f t="shared" si="407"/>
        <v>195215</v>
      </c>
      <c r="P81" s="7">
        <f t="shared" si="407"/>
        <v>210232</v>
      </c>
      <c r="Q81" s="7">
        <f t="shared" si="407"/>
        <v>209229</v>
      </c>
      <c r="R81" s="7">
        <f t="shared" si="407"/>
        <v>240246</v>
      </c>
      <c r="S81" s="7">
        <f t="shared" si="407"/>
        <v>233623</v>
      </c>
      <c r="T81" s="7">
        <f t="shared" si="407"/>
        <v>240353</v>
      </c>
      <c r="U81" s="7">
        <f t="shared" si="407"/>
        <v>244131</v>
      </c>
      <c r="V81" s="7">
        <f t="shared" si="407"/>
        <v>270729</v>
      </c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8"/>
      <c r="CA81" s="8"/>
      <c r="CB81" s="8"/>
      <c r="CC81" s="8">
        <f t="shared" ref="CC81:CL83" si="408">R81/N81-1</f>
        <v>0.21003908453541786</v>
      </c>
      <c r="CD81" s="8">
        <f t="shared" si="408"/>
        <v>0.19674717619035431</v>
      </c>
      <c r="CE81" s="8">
        <f t="shared" si="408"/>
        <v>0.14327504851782802</v>
      </c>
      <c r="CF81" s="8">
        <f t="shared" si="408"/>
        <v>0.16681243995813211</v>
      </c>
      <c r="CG81" s="8">
        <f t="shared" si="408"/>
        <v>0.12688244549336924</v>
      </c>
      <c r="CH81" s="8">
        <f t="shared" si="408"/>
        <v>-1</v>
      </c>
      <c r="CI81" s="8">
        <f t="shared" si="408"/>
        <v>-1</v>
      </c>
      <c r="CJ81" s="8">
        <f t="shared" si="408"/>
        <v>-1</v>
      </c>
      <c r="CK81" s="8">
        <f t="shared" si="408"/>
        <v>-1</v>
      </c>
      <c r="CL81" s="8" t="e">
        <f t="shared" si="408"/>
        <v>#DIV/0!</v>
      </c>
      <c r="CM81" s="8" t="e">
        <f t="shared" ref="CM81:CV83" si="409">AB81/X81-1</f>
        <v>#DIV/0!</v>
      </c>
      <c r="CN81" s="8" t="e">
        <f t="shared" si="409"/>
        <v>#DIV/0!</v>
      </c>
      <c r="CO81" s="8" t="e">
        <f t="shared" si="409"/>
        <v>#DIV/0!</v>
      </c>
      <c r="CP81" s="8" t="e">
        <f t="shared" si="409"/>
        <v>#DIV/0!</v>
      </c>
      <c r="CQ81" s="8" t="e">
        <f t="shared" si="409"/>
        <v>#DIV/0!</v>
      </c>
      <c r="CR81" s="8" t="e">
        <f t="shared" si="409"/>
        <v>#DIV/0!</v>
      </c>
      <c r="CS81" s="8" t="e">
        <f t="shared" si="409"/>
        <v>#DIV/0!</v>
      </c>
      <c r="CT81" s="8" t="e">
        <f t="shared" si="409"/>
        <v>#DIV/0!</v>
      </c>
      <c r="CU81" s="8" t="e">
        <f t="shared" si="409"/>
        <v>#DIV/0!</v>
      </c>
      <c r="CV81" s="8" t="e">
        <f t="shared" si="409"/>
        <v>#DIV/0!</v>
      </c>
      <c r="CW81" s="8" t="e">
        <f t="shared" ref="CW81:DF83" si="410">AL81/AH81-1</f>
        <v>#DIV/0!</v>
      </c>
      <c r="CX81" s="8" t="e">
        <f t="shared" si="410"/>
        <v>#DIV/0!</v>
      </c>
      <c r="CY81" s="8" t="e">
        <f t="shared" si="410"/>
        <v>#DIV/0!</v>
      </c>
      <c r="CZ81" s="8" t="e">
        <f t="shared" si="410"/>
        <v>#DIV/0!</v>
      </c>
      <c r="DA81" s="8" t="e">
        <f t="shared" si="410"/>
        <v>#DIV/0!</v>
      </c>
      <c r="DB81" s="8" t="e">
        <f t="shared" si="410"/>
        <v>#DIV/0!</v>
      </c>
      <c r="DC81" s="8" t="e">
        <f t="shared" si="410"/>
        <v>#DIV/0!</v>
      </c>
      <c r="DD81" s="8" t="e">
        <f t="shared" si="410"/>
        <v>#DIV/0!</v>
      </c>
      <c r="DE81" s="8" t="e">
        <f t="shared" si="410"/>
        <v>#DIV/0!</v>
      </c>
      <c r="DF81" s="8" t="e">
        <f t="shared" si="410"/>
        <v>#DIV/0!</v>
      </c>
      <c r="DG81" s="8" t="e">
        <f t="shared" ref="DG81:DK83" si="411">AV81/AR81-1</f>
        <v>#DIV/0!</v>
      </c>
      <c r="DH81" s="8" t="e">
        <f t="shared" si="411"/>
        <v>#DIV/0!</v>
      </c>
      <c r="DI81" s="8" t="e">
        <f t="shared" si="411"/>
        <v>#DIV/0!</v>
      </c>
      <c r="DJ81" s="8" t="e">
        <f t="shared" si="411"/>
        <v>#DIV/0!</v>
      </c>
      <c r="DK81" s="8" t="e">
        <f t="shared" si="411"/>
        <v>#DIV/0!</v>
      </c>
      <c r="DL81" s="8"/>
    </row>
    <row r="82" spans="2:116" hidden="1" outlineLevel="1">
      <c r="B82" s="2" t="s">
        <v>364</v>
      </c>
      <c r="C82" s="2"/>
      <c r="D82" s="2"/>
      <c r="E82" s="2"/>
      <c r="F82" s="2"/>
      <c r="G82" s="2"/>
      <c r="H82" s="2"/>
      <c r="I82" s="2"/>
      <c r="J82" s="2"/>
      <c r="K82" s="9">
        <f>O82/O83*K83</f>
        <v>1501.6377731196562</v>
      </c>
      <c r="L82" s="9">
        <f>P82/P83*L83</f>
        <v>2365.0827131454134</v>
      </c>
      <c r="M82" s="9">
        <f>Q82/Q83*M83</f>
        <v>1457.7501577773389</v>
      </c>
      <c r="N82" s="9">
        <v>313</v>
      </c>
      <c r="O82" s="9">
        <v>1527</v>
      </c>
      <c r="P82" s="9">
        <v>2768</v>
      </c>
      <c r="Q82" s="9">
        <v>1658</v>
      </c>
      <c r="R82" s="9">
        <v>2379</v>
      </c>
      <c r="S82" s="9">
        <v>3019</v>
      </c>
      <c r="T82" s="9">
        <v>3019</v>
      </c>
      <c r="U82" s="9">
        <v>2271</v>
      </c>
      <c r="V82" s="9">
        <v>5775</v>
      </c>
      <c r="W82" s="241"/>
      <c r="X82" s="241"/>
      <c r="Y82" s="241"/>
      <c r="Z82" s="241"/>
      <c r="AA82" s="241"/>
      <c r="AB82" s="241"/>
      <c r="AC82" s="241"/>
      <c r="AD82" s="241"/>
      <c r="AE82" s="241"/>
      <c r="AF82" s="363"/>
      <c r="AG82" s="363"/>
      <c r="AH82" s="363"/>
      <c r="AI82" s="363"/>
      <c r="AJ82" s="363"/>
      <c r="AK82" s="363"/>
      <c r="AL82" s="363"/>
      <c r="AM82" s="363"/>
      <c r="AN82" s="363"/>
      <c r="AO82" s="363"/>
      <c r="AP82" s="363"/>
      <c r="AQ82" s="363"/>
      <c r="AR82" s="363"/>
      <c r="AS82" s="363"/>
      <c r="AT82" s="363"/>
      <c r="AU82" s="363"/>
      <c r="AV82" s="363"/>
      <c r="AW82" s="363"/>
      <c r="AX82" s="363"/>
      <c r="AY82" s="363"/>
      <c r="AZ82" s="363"/>
      <c r="BA82" s="363"/>
      <c r="BB82" s="363"/>
      <c r="BC82" s="363"/>
      <c r="BD82" s="363"/>
      <c r="BE82" s="363"/>
      <c r="BF82" s="363"/>
      <c r="BG82" s="363"/>
      <c r="BL82" s="363"/>
      <c r="BM82" s="363"/>
      <c r="BN82" s="363"/>
      <c r="BO82" s="363"/>
      <c r="BP82" s="363"/>
      <c r="BQ82" s="363"/>
      <c r="BR82" s="363"/>
      <c r="BS82" s="363"/>
      <c r="BT82" s="363"/>
      <c r="BU82" s="363"/>
      <c r="BV82" s="363"/>
      <c r="BW82" s="363"/>
      <c r="BX82" s="363"/>
      <c r="BY82" s="363"/>
      <c r="BZ82" s="8"/>
      <c r="CA82" s="8"/>
      <c r="CB82" s="8"/>
      <c r="CC82" s="8">
        <f t="shared" si="408"/>
        <v>6.600638977635783</v>
      </c>
      <c r="CD82" s="8">
        <f t="shared" si="408"/>
        <v>0.97707924034053706</v>
      </c>
      <c r="CE82" s="8">
        <f t="shared" si="408"/>
        <v>9.0679190751445038E-2</v>
      </c>
      <c r="CF82" s="8">
        <f t="shared" si="408"/>
        <v>0.36972255729794923</v>
      </c>
      <c r="CG82" s="8">
        <f t="shared" si="408"/>
        <v>1.4274905422446404</v>
      </c>
      <c r="CH82" s="8">
        <f t="shared" si="408"/>
        <v>-1</v>
      </c>
      <c r="CI82" s="8">
        <f t="shared" si="408"/>
        <v>-1</v>
      </c>
      <c r="CJ82" s="8">
        <f t="shared" si="408"/>
        <v>-1</v>
      </c>
      <c r="CK82" s="8">
        <f t="shared" si="408"/>
        <v>-1</v>
      </c>
      <c r="CL82" s="8" t="e">
        <f t="shared" si="408"/>
        <v>#DIV/0!</v>
      </c>
      <c r="CM82" s="8" t="e">
        <f t="shared" si="409"/>
        <v>#DIV/0!</v>
      </c>
      <c r="CN82" s="8" t="e">
        <f t="shared" si="409"/>
        <v>#DIV/0!</v>
      </c>
      <c r="CO82" s="8" t="e">
        <f t="shared" si="409"/>
        <v>#DIV/0!</v>
      </c>
      <c r="CP82" s="8" t="e">
        <f t="shared" si="409"/>
        <v>#DIV/0!</v>
      </c>
      <c r="CQ82" s="8" t="e">
        <f t="shared" si="409"/>
        <v>#DIV/0!</v>
      </c>
      <c r="CR82" s="8" t="e">
        <f t="shared" si="409"/>
        <v>#DIV/0!</v>
      </c>
      <c r="CS82" s="8" t="e">
        <f t="shared" si="409"/>
        <v>#DIV/0!</v>
      </c>
      <c r="CT82" s="8" t="e">
        <f t="shared" si="409"/>
        <v>#DIV/0!</v>
      </c>
      <c r="CU82" s="8" t="e">
        <f t="shared" si="409"/>
        <v>#DIV/0!</v>
      </c>
      <c r="CV82" s="8" t="e">
        <f t="shared" si="409"/>
        <v>#DIV/0!</v>
      </c>
      <c r="CW82" s="8" t="e">
        <f t="shared" si="410"/>
        <v>#DIV/0!</v>
      </c>
      <c r="CX82" s="8" t="e">
        <f t="shared" si="410"/>
        <v>#DIV/0!</v>
      </c>
      <c r="CY82" s="8" t="e">
        <f t="shared" si="410"/>
        <v>#DIV/0!</v>
      </c>
      <c r="CZ82" s="8" t="e">
        <f t="shared" si="410"/>
        <v>#DIV/0!</v>
      </c>
      <c r="DA82" s="8" t="e">
        <f t="shared" si="410"/>
        <v>#DIV/0!</v>
      </c>
      <c r="DB82" s="8" t="e">
        <f t="shared" si="410"/>
        <v>#DIV/0!</v>
      </c>
      <c r="DC82" s="8" t="e">
        <f t="shared" si="410"/>
        <v>#DIV/0!</v>
      </c>
      <c r="DD82" s="8" t="e">
        <f t="shared" si="410"/>
        <v>#DIV/0!</v>
      </c>
      <c r="DE82" s="8" t="e">
        <f t="shared" si="410"/>
        <v>#DIV/0!</v>
      </c>
      <c r="DF82" s="8" t="e">
        <f t="shared" si="410"/>
        <v>#DIV/0!</v>
      </c>
      <c r="DG82" s="8" t="e">
        <f t="shared" si="411"/>
        <v>#DIV/0!</v>
      </c>
      <c r="DH82" s="8" t="e">
        <f t="shared" si="411"/>
        <v>#DIV/0!</v>
      </c>
      <c r="DI82" s="8" t="e">
        <f t="shared" si="411"/>
        <v>#DIV/0!</v>
      </c>
      <c r="DJ82" s="8" t="e">
        <f t="shared" si="411"/>
        <v>#DIV/0!</v>
      </c>
      <c r="DK82" s="8" t="e">
        <f t="shared" si="411"/>
        <v>#DIV/0!</v>
      </c>
      <c r="DL82" s="8"/>
    </row>
    <row r="83" spans="2:116" hidden="1" outlineLevel="1">
      <c r="B83" s="18" t="s">
        <v>363</v>
      </c>
      <c r="C83" s="18"/>
      <c r="D83" s="18"/>
      <c r="E83" s="18"/>
      <c r="F83" s="18"/>
      <c r="G83" s="18"/>
      <c r="H83" s="18"/>
      <c r="I83" s="18"/>
      <c r="J83" s="18"/>
      <c r="K83" s="19">
        <v>190471</v>
      </c>
      <c r="L83" s="19">
        <v>177265</v>
      </c>
      <c r="M83" s="19">
        <v>182501</v>
      </c>
      <c r="N83" s="19">
        <v>198231</v>
      </c>
      <c r="O83" s="19">
        <f>401152-P83</f>
        <v>193688</v>
      </c>
      <c r="P83" s="19">
        <v>207464</v>
      </c>
      <c r="Q83" s="19">
        <v>207571</v>
      </c>
      <c r="R83" s="19">
        <v>237867</v>
      </c>
      <c r="S83" s="19">
        <f>467938-T83</f>
        <v>230604</v>
      </c>
      <c r="T83" s="19">
        <v>237334</v>
      </c>
      <c r="U83" s="19">
        <v>241860</v>
      </c>
      <c r="V83" s="19">
        <v>264954</v>
      </c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8">
        <f>O83/K83-1</f>
        <v>1.6889710244604172E-2</v>
      </c>
      <c r="CA83" s="8">
        <f>P83/L83-1</f>
        <v>0.17036075931514971</v>
      </c>
      <c r="CB83" s="8">
        <f>Q83/M83-1</f>
        <v>0.13736911030624488</v>
      </c>
      <c r="CC83" s="8">
        <f t="shared" si="408"/>
        <v>0.1999485448794589</v>
      </c>
      <c r="CD83" s="8">
        <f t="shared" si="408"/>
        <v>0.19059518400726949</v>
      </c>
      <c r="CE83" s="8">
        <f t="shared" si="408"/>
        <v>0.14397678633401467</v>
      </c>
      <c r="CF83" s="8">
        <f t="shared" si="408"/>
        <v>0.16519166935650942</v>
      </c>
      <c r="CG83" s="8">
        <f t="shared" si="408"/>
        <v>0.11387456015336306</v>
      </c>
      <c r="CH83" s="8">
        <f t="shared" si="408"/>
        <v>-1</v>
      </c>
      <c r="CI83" s="8">
        <f t="shared" si="408"/>
        <v>-1</v>
      </c>
      <c r="CJ83" s="8">
        <f t="shared" si="408"/>
        <v>-1</v>
      </c>
      <c r="CK83" s="8">
        <f t="shared" si="408"/>
        <v>-1</v>
      </c>
      <c r="CL83" s="8" t="e">
        <f t="shared" si="408"/>
        <v>#DIV/0!</v>
      </c>
      <c r="CM83" s="8" t="e">
        <f t="shared" si="409"/>
        <v>#DIV/0!</v>
      </c>
      <c r="CN83" s="8" t="e">
        <f t="shared" si="409"/>
        <v>#DIV/0!</v>
      </c>
      <c r="CO83" s="8" t="e">
        <f t="shared" si="409"/>
        <v>#DIV/0!</v>
      </c>
      <c r="CP83" s="8" t="e">
        <f t="shared" si="409"/>
        <v>#DIV/0!</v>
      </c>
      <c r="CQ83" s="8" t="e">
        <f t="shared" si="409"/>
        <v>#DIV/0!</v>
      </c>
      <c r="CR83" s="8" t="e">
        <f t="shared" si="409"/>
        <v>#DIV/0!</v>
      </c>
      <c r="CS83" s="8" t="e">
        <f t="shared" si="409"/>
        <v>#DIV/0!</v>
      </c>
      <c r="CT83" s="8" t="e">
        <f t="shared" si="409"/>
        <v>#DIV/0!</v>
      </c>
      <c r="CU83" s="8" t="e">
        <f t="shared" si="409"/>
        <v>#DIV/0!</v>
      </c>
      <c r="CV83" s="8" t="e">
        <f t="shared" si="409"/>
        <v>#DIV/0!</v>
      </c>
      <c r="CW83" s="8" t="e">
        <f t="shared" si="410"/>
        <v>#DIV/0!</v>
      </c>
      <c r="CX83" s="8" t="e">
        <f t="shared" si="410"/>
        <v>#DIV/0!</v>
      </c>
      <c r="CY83" s="8" t="e">
        <f t="shared" si="410"/>
        <v>#DIV/0!</v>
      </c>
      <c r="CZ83" s="8" t="e">
        <f t="shared" si="410"/>
        <v>#DIV/0!</v>
      </c>
      <c r="DA83" s="8" t="e">
        <f t="shared" si="410"/>
        <v>#DIV/0!</v>
      </c>
      <c r="DB83" s="8" t="e">
        <f t="shared" si="410"/>
        <v>#DIV/0!</v>
      </c>
      <c r="DC83" s="8" t="e">
        <f t="shared" si="410"/>
        <v>#DIV/0!</v>
      </c>
      <c r="DD83" s="8" t="e">
        <f t="shared" si="410"/>
        <v>#DIV/0!</v>
      </c>
      <c r="DE83" s="8" t="e">
        <f t="shared" si="410"/>
        <v>#DIV/0!</v>
      </c>
      <c r="DF83" s="8" t="e">
        <f t="shared" si="410"/>
        <v>#DIV/0!</v>
      </c>
      <c r="DG83" s="8" t="e">
        <f t="shared" si="411"/>
        <v>#DIV/0!</v>
      </c>
      <c r="DH83" s="8" t="e">
        <f t="shared" si="411"/>
        <v>#DIV/0!</v>
      </c>
      <c r="DI83" s="8" t="e">
        <f t="shared" si="411"/>
        <v>#DIV/0!</v>
      </c>
      <c r="DJ83" s="8" t="e">
        <f t="shared" si="411"/>
        <v>#DIV/0!</v>
      </c>
      <c r="DK83" s="8" t="e">
        <f t="shared" si="411"/>
        <v>#DIV/0!</v>
      </c>
      <c r="DL83" s="8"/>
    </row>
    <row r="84" spans="2:116" hidden="1" outlineLevel="1">
      <c r="B84" s="18"/>
      <c r="C84" s="18"/>
      <c r="D84" s="18"/>
      <c r="E84" s="18"/>
      <c r="F84" s="18"/>
      <c r="G84" s="18"/>
      <c r="H84" s="18"/>
      <c r="I84" s="18"/>
      <c r="J84" s="18"/>
      <c r="K84" s="19">
        <f>K83-K85</f>
        <v>2305</v>
      </c>
      <c r="L84" s="19">
        <f>L83-L85</f>
        <v>1808</v>
      </c>
      <c r="M84" s="19">
        <f>M83-M85</f>
        <v>1721</v>
      </c>
      <c r="N84" s="19">
        <f t="shared" ref="N84:U84" si="412">N83-N85</f>
        <v>1859</v>
      </c>
      <c r="O84" s="19">
        <f t="shared" si="412"/>
        <v>1720</v>
      </c>
      <c r="P84" s="19">
        <f t="shared" si="412"/>
        <v>1141</v>
      </c>
      <c r="Q84" s="19">
        <f t="shared" si="412"/>
        <v>1757</v>
      </c>
      <c r="R84" s="19">
        <f t="shared" si="412"/>
        <v>1917</v>
      </c>
      <c r="S84" s="19">
        <f t="shared" si="412"/>
        <v>1853</v>
      </c>
      <c r="T84" s="19">
        <f t="shared" si="412"/>
        <v>1922</v>
      </c>
      <c r="U84" s="19">
        <f t="shared" si="412"/>
        <v>2039</v>
      </c>
      <c r="V84" s="19">
        <f>V83-V85</f>
        <v>2229</v>
      </c>
      <c r="W84" s="19"/>
      <c r="X84" s="19"/>
      <c r="Y84" s="19"/>
      <c r="Z84" s="19"/>
      <c r="AA84" s="19"/>
      <c r="AB84" s="19"/>
      <c r="AC84" s="19"/>
      <c r="AD84" s="19"/>
      <c r="AE84" s="19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</row>
    <row r="85" spans="2:116" hidden="1" outlineLevel="1">
      <c r="B85" s="18" t="s">
        <v>25</v>
      </c>
      <c r="C85" s="18">
        <v>167672</v>
      </c>
      <c r="D85" s="18">
        <v>172917</v>
      </c>
      <c r="E85" s="18">
        <v>179276</v>
      </c>
      <c r="F85" s="18">
        <v>198654</v>
      </c>
      <c r="G85" s="18">
        <v>181756</v>
      </c>
      <c r="H85" s="18">
        <v>181139</v>
      </c>
      <c r="I85" s="18">
        <v>185736</v>
      </c>
      <c r="J85" s="18">
        <v>212133</v>
      </c>
      <c r="K85" s="19">
        <v>188166</v>
      </c>
      <c r="L85" s="19">
        <v>175457</v>
      </c>
      <c r="M85" s="19">
        <v>180780</v>
      </c>
      <c r="N85" s="19">
        <v>196372</v>
      </c>
      <c r="O85" s="19">
        <v>191968</v>
      </c>
      <c r="P85" s="19">
        <v>206323</v>
      </c>
      <c r="Q85" s="19">
        <v>205814</v>
      </c>
      <c r="R85" s="19">
        <v>235950</v>
      </c>
      <c r="S85" s="19">
        <v>228751</v>
      </c>
      <c r="T85" s="19">
        <v>235412</v>
      </c>
      <c r="U85" s="19">
        <v>239821</v>
      </c>
      <c r="V85" s="19">
        <v>262725</v>
      </c>
      <c r="W85" s="19">
        <v>271011</v>
      </c>
      <c r="X85" s="19">
        <v>275153</v>
      </c>
      <c r="Y85" s="19">
        <v>278056</v>
      </c>
      <c r="Z85" s="19"/>
      <c r="AA85" s="19"/>
      <c r="AB85" s="19"/>
      <c r="AC85" s="19"/>
      <c r="AD85" s="19"/>
      <c r="AE85" s="19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8"/>
      <c r="CA85" s="8"/>
      <c r="CB85" s="8"/>
      <c r="CC85" s="8">
        <f t="shared" ref="CC85:DK85" si="413">R85/N85-1</f>
        <v>0.20154604526103514</v>
      </c>
      <c r="CD85" s="8">
        <f t="shared" si="413"/>
        <v>0.19161006001000169</v>
      </c>
      <c r="CE85" s="8">
        <f t="shared" si="413"/>
        <v>0.1409876746654517</v>
      </c>
      <c r="CF85" s="8">
        <f t="shared" si="413"/>
        <v>0.16523171407192905</v>
      </c>
      <c r="CG85" s="8">
        <f t="shared" si="413"/>
        <v>0.11347743165924995</v>
      </c>
      <c r="CH85" s="8">
        <f t="shared" si="413"/>
        <v>0.18474236178202497</v>
      </c>
      <c r="CI85" s="8">
        <f t="shared" si="413"/>
        <v>0.16881467384840199</v>
      </c>
      <c r="CJ85" s="8">
        <f t="shared" si="413"/>
        <v>0.15943140925940602</v>
      </c>
      <c r="CK85" s="8">
        <f t="shared" si="413"/>
        <v>-1</v>
      </c>
      <c r="CL85" s="8">
        <f t="shared" si="413"/>
        <v>-1</v>
      </c>
      <c r="CM85" s="8">
        <f t="shared" si="413"/>
        <v>-1</v>
      </c>
      <c r="CN85" s="8">
        <f t="shared" si="413"/>
        <v>-1</v>
      </c>
      <c r="CO85" s="8" t="e">
        <f t="shared" si="413"/>
        <v>#DIV/0!</v>
      </c>
      <c r="CP85" s="8" t="e">
        <f t="shared" si="413"/>
        <v>#DIV/0!</v>
      </c>
      <c r="CQ85" s="8" t="e">
        <f t="shared" si="413"/>
        <v>#DIV/0!</v>
      </c>
      <c r="CR85" s="8" t="e">
        <f t="shared" si="413"/>
        <v>#DIV/0!</v>
      </c>
      <c r="CS85" s="8" t="e">
        <f t="shared" si="413"/>
        <v>#DIV/0!</v>
      </c>
      <c r="CT85" s="8" t="e">
        <f t="shared" si="413"/>
        <v>#DIV/0!</v>
      </c>
      <c r="CU85" s="8" t="e">
        <f t="shared" si="413"/>
        <v>#DIV/0!</v>
      </c>
      <c r="CV85" s="8" t="e">
        <f t="shared" si="413"/>
        <v>#DIV/0!</v>
      </c>
      <c r="CW85" s="8" t="e">
        <f t="shared" si="413"/>
        <v>#DIV/0!</v>
      </c>
      <c r="CX85" s="8" t="e">
        <f t="shared" si="413"/>
        <v>#DIV/0!</v>
      </c>
      <c r="CY85" s="8" t="e">
        <f t="shared" si="413"/>
        <v>#DIV/0!</v>
      </c>
      <c r="CZ85" s="8" t="e">
        <f t="shared" si="413"/>
        <v>#DIV/0!</v>
      </c>
      <c r="DA85" s="8" t="e">
        <f t="shared" si="413"/>
        <v>#DIV/0!</v>
      </c>
      <c r="DB85" s="8" t="e">
        <f t="shared" si="413"/>
        <v>#DIV/0!</v>
      </c>
      <c r="DC85" s="8" t="e">
        <f t="shared" si="413"/>
        <v>#DIV/0!</v>
      </c>
      <c r="DD85" s="8" t="e">
        <f t="shared" si="413"/>
        <v>#DIV/0!</v>
      </c>
      <c r="DE85" s="8" t="e">
        <f t="shared" si="413"/>
        <v>#DIV/0!</v>
      </c>
      <c r="DF85" s="8" t="e">
        <f t="shared" si="413"/>
        <v>#DIV/0!</v>
      </c>
      <c r="DG85" s="8" t="e">
        <f t="shared" si="413"/>
        <v>#DIV/0!</v>
      </c>
      <c r="DH85" s="8" t="e">
        <f t="shared" si="413"/>
        <v>#DIV/0!</v>
      </c>
      <c r="DI85" s="8" t="e">
        <f t="shared" si="413"/>
        <v>#DIV/0!</v>
      </c>
      <c r="DJ85" s="8" t="e">
        <f t="shared" si="413"/>
        <v>#DIV/0!</v>
      </c>
      <c r="DK85" s="8" t="e">
        <f t="shared" si="413"/>
        <v>#DIV/0!</v>
      </c>
      <c r="DL85" s="8"/>
    </row>
    <row r="86" spans="2:116" hidden="1" outlineLevel="1">
      <c r="B86" s="3" t="s">
        <v>63</v>
      </c>
      <c r="C86" s="3"/>
      <c r="D86" s="3"/>
      <c r="E86" s="3"/>
      <c r="F86" s="3"/>
      <c r="G86" s="5">
        <f>G85/C85-1</f>
        <v>8.3997328116799386E-2</v>
      </c>
      <c r="H86" s="5">
        <f t="shared" ref="H86:N86" si="414">H85/D85-1</f>
        <v>4.7548824002267009E-2</v>
      </c>
      <c r="I86" s="5">
        <f t="shared" si="414"/>
        <v>3.6033824940315595E-2</v>
      </c>
      <c r="J86" s="5">
        <f t="shared" si="414"/>
        <v>6.785164154761536E-2</v>
      </c>
      <c r="K86" s="5">
        <f t="shared" si="414"/>
        <v>3.526706133497659E-2</v>
      </c>
      <c r="L86" s="5">
        <f t="shared" si="414"/>
        <v>-3.1368175820778554E-2</v>
      </c>
      <c r="M86" s="5">
        <f t="shared" si="414"/>
        <v>-2.6683033983718851E-2</v>
      </c>
      <c r="N86" s="5">
        <f t="shared" si="414"/>
        <v>-7.4297728311955247E-2</v>
      </c>
      <c r="O86" s="5">
        <f t="shared" ref="O86:Y86" si="415">O85/K85-1</f>
        <v>2.0205563172942975E-2</v>
      </c>
      <c r="P86" s="5">
        <f t="shared" si="415"/>
        <v>0.17591774622842071</v>
      </c>
      <c r="Q86" s="5">
        <f t="shared" si="415"/>
        <v>0.13847770771102996</v>
      </c>
      <c r="R86" s="5">
        <f t="shared" si="415"/>
        <v>0.20154604526103514</v>
      </c>
      <c r="S86" s="5">
        <f t="shared" si="415"/>
        <v>0.19161006001000169</v>
      </c>
      <c r="T86" s="5">
        <f t="shared" si="415"/>
        <v>0.1409876746654517</v>
      </c>
      <c r="U86" s="5">
        <f t="shared" si="415"/>
        <v>0.16523171407192905</v>
      </c>
      <c r="V86" s="5">
        <f t="shared" si="415"/>
        <v>0.11347743165924995</v>
      </c>
      <c r="W86" s="5">
        <f t="shared" si="415"/>
        <v>0.18474236178202497</v>
      </c>
      <c r="X86" s="5">
        <f t="shared" si="415"/>
        <v>0.16881467384840199</v>
      </c>
      <c r="Y86" s="5">
        <f t="shared" si="415"/>
        <v>0.15943140925940602</v>
      </c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</row>
    <row r="87" spans="2:116" hidden="1" outlineLevel="1">
      <c r="B87" s="3"/>
      <c r="C87" s="3"/>
      <c r="D87" s="3"/>
      <c r="E87" s="3"/>
      <c r="F87" s="3"/>
      <c r="G87" s="3">
        <v>185214</v>
      </c>
      <c r="H87" s="3">
        <v>187284</v>
      </c>
      <c r="I87" s="3">
        <v>191991</v>
      </c>
      <c r="J87" s="3">
        <v>218446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3"/>
      <c r="CA87" s="3"/>
      <c r="CB87" s="3"/>
      <c r="CC87" s="3"/>
      <c r="CD87" s="3"/>
      <c r="CE87" s="3"/>
      <c r="CF87" s="3"/>
      <c r="CG87" s="3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</row>
    <row r="88" spans="2:116" hidden="1" outlineLevel="1">
      <c r="B88" s="3" t="s">
        <v>34</v>
      </c>
      <c r="C88" s="3"/>
      <c r="D88" s="3"/>
      <c r="E88" s="3"/>
      <c r="F88" s="3"/>
      <c r="G88" s="3"/>
      <c r="H88" s="3"/>
      <c r="I88" s="3"/>
      <c r="J88" s="3"/>
      <c r="K88" s="7">
        <v>77026</v>
      </c>
      <c r="L88" s="7">
        <v>72470</v>
      </c>
      <c r="M88" s="7">
        <v>76004</v>
      </c>
      <c r="N88" s="7">
        <v>78561</v>
      </c>
      <c r="O88" s="7">
        <f>156623-P88</f>
        <v>76066</v>
      </c>
      <c r="P88" s="7">
        <v>80557</v>
      </c>
      <c r="Q88" s="7">
        <v>88792</v>
      </c>
      <c r="R88" s="7">
        <v>88846</v>
      </c>
      <c r="S88" s="7">
        <f>206618-T88</f>
        <v>103645</v>
      </c>
      <c r="T88" s="7">
        <v>102973</v>
      </c>
      <c r="U88" s="7">
        <v>104000</v>
      </c>
      <c r="V88" s="7">
        <f ca="1">V140</f>
        <v>85730</v>
      </c>
      <c r="W88" s="7">
        <f>W140</f>
        <v>112770</v>
      </c>
      <c r="X88" s="7">
        <f>X140</f>
        <v>109064</v>
      </c>
      <c r="Y88" s="7">
        <f>Y140</f>
        <v>110959</v>
      </c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8">
        <f t="shared" ref="BZ88:DK88" si="416">O88/K88-1</f>
        <v>-1.2463324072391146E-2</v>
      </c>
      <c r="CA88" s="8">
        <f t="shared" si="416"/>
        <v>0.11159100317372705</v>
      </c>
      <c r="CB88" s="8">
        <f t="shared" si="416"/>
        <v>0.16825430240513661</v>
      </c>
      <c r="CC88" s="8">
        <f t="shared" si="416"/>
        <v>0.13091737630630984</v>
      </c>
      <c r="CD88" s="8">
        <f t="shared" si="416"/>
        <v>0.36256671837614696</v>
      </c>
      <c r="CE88" s="8">
        <f t="shared" si="416"/>
        <v>0.27826259667068043</v>
      </c>
      <c r="CF88" s="8">
        <f t="shared" si="416"/>
        <v>0.17127669159383729</v>
      </c>
      <c r="CG88" s="8">
        <f t="shared" ca="1" si="416"/>
        <v>-3.5071922202462691E-2</v>
      </c>
      <c r="CH88" s="8">
        <f t="shared" si="416"/>
        <v>8.8040908871629187E-2</v>
      </c>
      <c r="CI88" s="8">
        <f t="shared" si="416"/>
        <v>5.9151428044244669E-2</v>
      </c>
      <c r="CJ88" s="8">
        <f t="shared" si="416"/>
        <v>6.691346153846145E-2</v>
      </c>
      <c r="CK88" s="8">
        <f t="shared" ca="1" si="416"/>
        <v>-1</v>
      </c>
      <c r="CL88" s="8">
        <f t="shared" si="416"/>
        <v>-1</v>
      </c>
      <c r="CM88" s="8">
        <f t="shared" si="416"/>
        <v>-1</v>
      </c>
      <c r="CN88" s="8">
        <f t="shared" si="416"/>
        <v>-1</v>
      </c>
      <c r="CO88" s="8" t="e">
        <f t="shared" si="416"/>
        <v>#DIV/0!</v>
      </c>
      <c r="CP88" s="8" t="e">
        <f t="shared" si="416"/>
        <v>#DIV/0!</v>
      </c>
      <c r="CQ88" s="8" t="e">
        <f t="shared" si="416"/>
        <v>#DIV/0!</v>
      </c>
      <c r="CR88" s="8" t="e">
        <f t="shared" si="416"/>
        <v>#DIV/0!</v>
      </c>
      <c r="CS88" s="8" t="e">
        <f t="shared" si="416"/>
        <v>#DIV/0!</v>
      </c>
      <c r="CT88" s="8" t="e">
        <f t="shared" si="416"/>
        <v>#DIV/0!</v>
      </c>
      <c r="CU88" s="8" t="e">
        <f t="shared" si="416"/>
        <v>#DIV/0!</v>
      </c>
      <c r="CV88" s="8" t="e">
        <f t="shared" si="416"/>
        <v>#DIV/0!</v>
      </c>
      <c r="CW88" s="8" t="e">
        <f t="shared" si="416"/>
        <v>#DIV/0!</v>
      </c>
      <c r="CX88" s="8" t="e">
        <f t="shared" si="416"/>
        <v>#DIV/0!</v>
      </c>
      <c r="CY88" s="8" t="e">
        <f t="shared" si="416"/>
        <v>#DIV/0!</v>
      </c>
      <c r="CZ88" s="8" t="e">
        <f t="shared" si="416"/>
        <v>#DIV/0!</v>
      </c>
      <c r="DA88" s="8" t="e">
        <f t="shared" si="416"/>
        <v>#DIV/0!</v>
      </c>
      <c r="DB88" s="8" t="e">
        <f t="shared" si="416"/>
        <v>#DIV/0!</v>
      </c>
      <c r="DC88" s="8" t="e">
        <f t="shared" si="416"/>
        <v>#DIV/0!</v>
      </c>
      <c r="DD88" s="8" t="e">
        <f t="shared" si="416"/>
        <v>#DIV/0!</v>
      </c>
      <c r="DE88" s="8" t="e">
        <f t="shared" si="416"/>
        <v>#DIV/0!</v>
      </c>
      <c r="DF88" s="8" t="e">
        <f t="shared" si="416"/>
        <v>#DIV/0!</v>
      </c>
      <c r="DG88" s="8" t="e">
        <f t="shared" si="416"/>
        <v>#DIV/0!</v>
      </c>
      <c r="DH88" s="8" t="e">
        <f t="shared" si="416"/>
        <v>#DIV/0!</v>
      </c>
      <c r="DI88" s="8" t="e">
        <f t="shared" si="416"/>
        <v>#DIV/0!</v>
      </c>
      <c r="DJ88" s="8" t="e">
        <f t="shared" si="416"/>
        <v>#DIV/0!</v>
      </c>
      <c r="DK88" s="8" t="e">
        <f t="shared" si="416"/>
        <v>#DIV/0!</v>
      </c>
      <c r="DL88" s="8"/>
    </row>
    <row r="89" spans="2:116" hidden="1" outlineLevel="1">
      <c r="B89" s="95" t="s">
        <v>5</v>
      </c>
      <c r="C89" s="95"/>
      <c r="D89" s="95"/>
      <c r="E89" s="95"/>
      <c r="F89" s="95"/>
      <c r="G89" s="95"/>
      <c r="H89" s="95"/>
      <c r="I89" s="95"/>
      <c r="J89" s="95"/>
      <c r="K89" s="243"/>
      <c r="L89" s="243"/>
      <c r="M89" s="243"/>
      <c r="N89" s="242">
        <f t="shared" ref="N89:T89" si="417">N88/N85</f>
        <v>0.40006212698348032</v>
      </c>
      <c r="O89" s="242">
        <f t="shared" si="417"/>
        <v>0.39624312385397564</v>
      </c>
      <c r="P89" s="242">
        <f t="shared" si="417"/>
        <v>0.39044120141719535</v>
      </c>
      <c r="Q89" s="242">
        <f t="shared" si="417"/>
        <v>0.43141865956640463</v>
      </c>
      <c r="R89" s="242">
        <f t="shared" si="417"/>
        <v>0.37654587836406017</v>
      </c>
      <c r="S89" s="242">
        <f t="shared" si="417"/>
        <v>0.45309091544954994</v>
      </c>
      <c r="T89" s="242">
        <f t="shared" si="417"/>
        <v>0.43741610453162966</v>
      </c>
      <c r="U89" s="242">
        <f>U88/U85</f>
        <v>0.43365676900688432</v>
      </c>
      <c r="V89" s="242">
        <f ca="1">V88/V85</f>
        <v>0.3263107812351318</v>
      </c>
      <c r="W89" s="242">
        <f>W88/W85</f>
        <v>0.41610857123880579</v>
      </c>
      <c r="X89" s="242">
        <f>X88/X85</f>
        <v>0.39637583453569469</v>
      </c>
      <c r="Y89" s="242">
        <f>Y88/Y85</f>
        <v>0.39905270880685906</v>
      </c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  <c r="AL89" s="242"/>
      <c r="AM89" s="242"/>
      <c r="AN89" s="242"/>
      <c r="AO89" s="242"/>
      <c r="AP89" s="242"/>
      <c r="AQ89" s="242"/>
      <c r="AR89" s="242"/>
      <c r="AS89" s="242"/>
      <c r="AT89" s="242"/>
      <c r="AU89" s="242"/>
      <c r="AV89" s="242"/>
      <c r="AW89" s="242"/>
      <c r="AX89" s="242"/>
      <c r="AY89" s="242"/>
      <c r="AZ89" s="242"/>
      <c r="BA89" s="242"/>
      <c r="BB89" s="242"/>
      <c r="BC89" s="242"/>
      <c r="BD89" s="242"/>
      <c r="BE89" s="242"/>
      <c r="BF89" s="242"/>
      <c r="BG89" s="242"/>
      <c r="BL89" s="242"/>
      <c r="BM89" s="242"/>
      <c r="BN89" s="242"/>
      <c r="BO89" s="242"/>
      <c r="BP89" s="242"/>
      <c r="BQ89" s="242"/>
      <c r="BR89" s="242"/>
      <c r="BS89" s="242"/>
      <c r="BT89" s="242"/>
      <c r="BU89" s="242"/>
      <c r="BV89" s="242"/>
      <c r="BW89" s="242"/>
      <c r="BX89" s="242"/>
      <c r="BY89" s="242"/>
      <c r="BZ89" s="3"/>
      <c r="CA89" s="3"/>
      <c r="CB89" s="3"/>
      <c r="CC89" s="3"/>
      <c r="CD89" s="3"/>
      <c r="CE89" s="3"/>
      <c r="CF89" s="3"/>
      <c r="CG89" s="3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</row>
    <row r="90" spans="2:116" collapsed="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</row>
    <row r="91" spans="2:116">
      <c r="B91" s="61" t="s">
        <v>859</v>
      </c>
      <c r="C91" s="3"/>
      <c r="D91" s="3"/>
      <c r="E91" s="3"/>
      <c r="F91" s="3"/>
      <c r="G91" s="3"/>
      <c r="H91" s="3"/>
      <c r="I91" s="3"/>
      <c r="J91" s="3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3"/>
      <c r="CA91" s="3"/>
      <c r="CB91" s="3"/>
      <c r="CC91" s="3"/>
      <c r="CD91" s="3"/>
      <c r="CE91" s="3"/>
      <c r="CF91" s="3"/>
      <c r="CG91" s="3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</row>
    <row r="92" spans="2:116">
      <c r="B92" s="3" t="s">
        <v>26</v>
      </c>
      <c r="C92" s="3"/>
      <c r="D92" s="3"/>
      <c r="E92" s="3"/>
      <c r="F92" s="3"/>
      <c r="G92" s="3"/>
      <c r="H92" s="3"/>
      <c r="I92" s="3"/>
      <c r="J92" s="3"/>
      <c r="K92" s="7">
        <v>5152</v>
      </c>
      <c r="L92" s="7">
        <v>5335</v>
      </c>
      <c r="M92" s="7">
        <v>5038</v>
      </c>
      <c r="N92" s="7">
        <v>4991</v>
      </c>
      <c r="O92" s="7">
        <v>5003</v>
      </c>
      <c r="P92" s="7">
        <v>4994</v>
      </c>
      <c r="Q92" s="7">
        <v>4889</v>
      </c>
      <c r="R92" s="7">
        <v>5285</v>
      </c>
      <c r="S92" s="7">
        <f>9734-T92</f>
        <v>4877</v>
      </c>
      <c r="T92" s="7">
        <v>4857</v>
      </c>
      <c r="U92" s="7">
        <v>5017</v>
      </c>
      <c r="V92" s="7">
        <v>5005</v>
      </c>
      <c r="W92" s="7">
        <v>5373</v>
      </c>
      <c r="X92" s="310">
        <v>5342</v>
      </c>
      <c r="Y92" s="310">
        <v>5134</v>
      </c>
      <c r="Z92" s="7">
        <v>4866</v>
      </c>
      <c r="AA92" s="7">
        <v>5029</v>
      </c>
      <c r="AB92" s="310">
        <v>5365</v>
      </c>
      <c r="AC92" s="7">
        <v>5634</v>
      </c>
      <c r="AD92" s="7">
        <v>5969</v>
      </c>
      <c r="AE92" s="7">
        <f>11.467*AE$63</f>
        <v>6324.6758098437504</v>
      </c>
      <c r="AF92" s="7">
        <v>7216</v>
      </c>
      <c r="AG92" s="7">
        <v>7384</v>
      </c>
      <c r="AH92" s="7">
        <v>7593</v>
      </c>
      <c r="AI92" s="7">
        <v>7540</v>
      </c>
      <c r="AJ92" s="7">
        <v>6827</v>
      </c>
      <c r="AK92" s="7">
        <v>7529</v>
      </c>
      <c r="AL92" s="7">
        <v>7579</v>
      </c>
      <c r="AM92" s="7">
        <v>6929</v>
      </c>
      <c r="AN92" s="7">
        <v>6818</v>
      </c>
      <c r="AO92" s="7">
        <v>6599</v>
      </c>
      <c r="AP92" s="7">
        <v>6686</v>
      </c>
      <c r="AQ92" s="7">
        <v>6370</v>
      </c>
      <c r="AR92" s="7">
        <v>6601</v>
      </c>
      <c r="AS92" s="7">
        <v>6151</v>
      </c>
      <c r="AT92" s="7">
        <v>7111</v>
      </c>
      <c r="AU92" s="7">
        <v>5181</v>
      </c>
      <c r="AV92" s="7">
        <f>AV93+AV94</f>
        <v>5698</v>
      </c>
      <c r="AW92" s="7">
        <f>AW93+AW94</f>
        <v>5959</v>
      </c>
      <c r="AX92" s="7">
        <f>AX93+AX94</f>
        <v>6180</v>
      </c>
      <c r="AY92" s="7"/>
      <c r="AZ92" s="7"/>
      <c r="BA92" s="7"/>
      <c r="BB92" s="7"/>
      <c r="BC92" s="7"/>
      <c r="BD92" s="7"/>
      <c r="BE92" s="7"/>
      <c r="BF92" s="7"/>
      <c r="BG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8">
        <f t="shared" ref="BZ92:DK92" si="418">O92/K92-1</f>
        <v>-2.8920807453416186E-2</v>
      </c>
      <c r="CA92" s="8">
        <f t="shared" si="418"/>
        <v>-6.3917525773195871E-2</v>
      </c>
      <c r="CB92" s="8">
        <f t="shared" si="418"/>
        <v>-2.957522826518455E-2</v>
      </c>
      <c r="CC92" s="8">
        <f t="shared" si="418"/>
        <v>5.8906030855540026E-2</v>
      </c>
      <c r="CD92" s="8">
        <f t="shared" si="418"/>
        <v>-2.5184889066560023E-2</v>
      </c>
      <c r="CE92" s="8">
        <f t="shared" si="418"/>
        <v>-2.7432919503404096E-2</v>
      </c>
      <c r="CF92" s="8">
        <f t="shared" si="418"/>
        <v>2.6181223154019273E-2</v>
      </c>
      <c r="CG92" s="8">
        <f t="shared" si="418"/>
        <v>-5.2980132450331174E-2</v>
      </c>
      <c r="CH92" s="8">
        <f t="shared" si="418"/>
        <v>0.10170186590116881</v>
      </c>
      <c r="CI92" s="8">
        <f t="shared" si="418"/>
        <v>9.9855878114062158E-2</v>
      </c>
      <c r="CJ92" s="8">
        <f t="shared" si="418"/>
        <v>2.3320709587402844E-2</v>
      </c>
      <c r="CK92" s="8">
        <f t="shared" si="418"/>
        <v>-2.7772227772227764E-2</v>
      </c>
      <c r="CL92" s="8">
        <f t="shared" si="418"/>
        <v>-6.4023822817792619E-2</v>
      </c>
      <c r="CM92" s="8">
        <f t="shared" si="418"/>
        <v>4.3055035567203248E-3</v>
      </c>
      <c r="CN92" s="8">
        <f t="shared" si="418"/>
        <v>9.7389949357226335E-2</v>
      </c>
      <c r="CO92" s="8">
        <f t="shared" si="418"/>
        <v>0.22667488697081795</v>
      </c>
      <c r="CP92" s="8">
        <f t="shared" si="418"/>
        <v>0.25764084506735929</v>
      </c>
      <c r="CQ92" s="8">
        <f t="shared" si="418"/>
        <v>0.34501397949673818</v>
      </c>
      <c r="CR92" s="8">
        <f t="shared" si="418"/>
        <v>0.31061412850550241</v>
      </c>
      <c r="CS92" s="8">
        <f t="shared" si="418"/>
        <v>0.27207237393198191</v>
      </c>
      <c r="CT92" s="8">
        <f t="shared" si="418"/>
        <v>0.19215596604409568</v>
      </c>
      <c r="CU92" s="8">
        <f t="shared" si="418"/>
        <v>-5.3907982261640841E-2</v>
      </c>
      <c r="CV92" s="8">
        <f t="shared" si="418"/>
        <v>1.9637053087757206E-2</v>
      </c>
      <c r="CW92" s="8">
        <f t="shared" si="418"/>
        <v>-1.8438035032266598E-3</v>
      </c>
      <c r="CX92" s="8">
        <f t="shared" si="418"/>
        <v>-8.1034482758620685E-2</v>
      </c>
      <c r="CY92" s="8">
        <f t="shared" si="418"/>
        <v>-1.3182950051267017E-3</v>
      </c>
      <c r="CZ92" s="8">
        <f t="shared" si="418"/>
        <v>-0.12352238013016337</v>
      </c>
      <c r="DA92" s="8">
        <f t="shared" si="418"/>
        <v>-0.11782557065575938</v>
      </c>
      <c r="DB92" s="8">
        <f t="shared" si="418"/>
        <v>-8.0675422138836828E-2</v>
      </c>
      <c r="DC92" s="8">
        <f t="shared" si="418"/>
        <v>-3.1827515400410733E-2</v>
      </c>
      <c r="DD92" s="8">
        <f t="shared" si="418"/>
        <v>-6.7889074102136737E-2</v>
      </c>
      <c r="DE92" s="8">
        <f t="shared" si="418"/>
        <v>6.3565659587197176E-2</v>
      </c>
      <c r="DF92" s="8">
        <f t="shared" si="418"/>
        <v>-0.18665620094191526</v>
      </c>
      <c r="DG92" s="8">
        <f t="shared" si="418"/>
        <v>-0.13679745493107109</v>
      </c>
      <c r="DH92" s="8">
        <f t="shared" si="418"/>
        <v>-3.1214436676963109E-2</v>
      </c>
      <c r="DI92" s="8">
        <f t="shared" si="418"/>
        <v>-0.13092392068626069</v>
      </c>
      <c r="DJ92" s="8">
        <f t="shared" si="418"/>
        <v>-1</v>
      </c>
      <c r="DK92" s="8">
        <f t="shared" si="418"/>
        <v>-1</v>
      </c>
      <c r="DL92" s="8"/>
    </row>
    <row r="93" spans="2:116">
      <c r="B93" s="3" t="s">
        <v>27</v>
      </c>
      <c r="C93" s="3"/>
      <c r="D93" s="3"/>
      <c r="E93" s="3"/>
      <c r="F93" s="3"/>
      <c r="G93" s="3"/>
      <c r="H93" s="3"/>
      <c r="I93" s="3"/>
      <c r="J93" s="3"/>
      <c r="K93" s="7"/>
      <c r="L93" s="7"/>
      <c r="M93" s="7"/>
      <c r="N93" s="7">
        <v>4831</v>
      </c>
      <c r="O93" s="7">
        <v>4892</v>
      </c>
      <c r="P93" s="7">
        <v>4934</v>
      </c>
      <c r="Q93" s="7">
        <v>4778</v>
      </c>
      <c r="R93" s="7">
        <v>4807</v>
      </c>
      <c r="S93" s="7">
        <v>4654</v>
      </c>
      <c r="T93" s="7">
        <v>4525</v>
      </c>
      <c r="U93" s="7">
        <v>4849</v>
      </c>
      <c r="V93" s="7">
        <v>5119</v>
      </c>
      <c r="W93" s="3">
        <v>5267</v>
      </c>
      <c r="X93" s="3">
        <v>5227</v>
      </c>
      <c r="Y93" s="3">
        <v>4950</v>
      </c>
      <c r="Z93" s="3">
        <v>4667</v>
      </c>
      <c r="AA93" s="3">
        <v>4928</v>
      </c>
      <c r="AB93" s="3">
        <v>5259</v>
      </c>
      <c r="AC93" s="3">
        <v>5519</v>
      </c>
      <c r="AD93" s="3">
        <v>5909</v>
      </c>
      <c r="AE93" s="7">
        <f t="shared" ref="AE93:AS93" si="419">AE125</f>
        <v>5982</v>
      </c>
      <c r="AF93" s="7">
        <f t="shared" si="419"/>
        <v>6291</v>
      </c>
      <c r="AG93" s="7">
        <f t="shared" si="419"/>
        <v>6741</v>
      </c>
      <c r="AH93" s="7">
        <f t="shared" si="419"/>
        <v>6436</v>
      </c>
      <c r="AI93" s="7">
        <f t="shared" si="419"/>
        <v>6795</v>
      </c>
      <c r="AJ93" s="7">
        <f t="shared" si="419"/>
        <v>6284</v>
      </c>
      <c r="AK93" s="7">
        <f t="shared" si="419"/>
        <v>6655</v>
      </c>
      <c r="AL93" s="7">
        <f t="shared" si="419"/>
        <v>6645</v>
      </c>
      <c r="AM93" s="7">
        <f t="shared" si="419"/>
        <v>6261</v>
      </c>
      <c r="AN93" s="7">
        <f t="shared" si="419"/>
        <v>6240</v>
      </c>
      <c r="AO93" s="7">
        <f t="shared" si="419"/>
        <v>5906</v>
      </c>
      <c r="AP93" s="7">
        <f t="shared" si="419"/>
        <v>5644</v>
      </c>
      <c r="AQ93" s="7">
        <f t="shared" si="419"/>
        <v>5594</v>
      </c>
      <c r="AR93" s="7">
        <f t="shared" si="419"/>
        <v>5855</v>
      </c>
      <c r="AS93" s="7">
        <f t="shared" si="419"/>
        <v>5682</v>
      </c>
      <c r="AT93" s="7">
        <v>6578</v>
      </c>
      <c r="AU93" s="7">
        <v>4539</v>
      </c>
      <c r="AV93" s="7">
        <f t="shared" ref="AV93:AX93" si="420">AV125</f>
        <v>5056</v>
      </c>
      <c r="AW93" s="7">
        <f t="shared" si="420"/>
        <v>5317</v>
      </c>
      <c r="AX93" s="7">
        <f t="shared" si="420"/>
        <v>5538</v>
      </c>
      <c r="AY93" s="7"/>
      <c r="AZ93" s="7"/>
      <c r="BA93" s="7"/>
      <c r="BB93" s="7"/>
      <c r="BC93" s="7"/>
      <c r="BD93" s="7"/>
      <c r="BE93" s="7"/>
      <c r="BF93" s="7"/>
      <c r="BG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8"/>
      <c r="CA93" s="8"/>
      <c r="CB93" s="8"/>
      <c r="CC93" s="8">
        <f t="shared" ref="CC93:DK93" si="421">R93/N93-1</f>
        <v>-4.9679155454357415E-3</v>
      </c>
      <c r="CD93" s="8">
        <f t="shared" si="421"/>
        <v>-4.8650858544562525E-2</v>
      </c>
      <c r="CE93" s="8">
        <f t="shared" si="421"/>
        <v>-8.2894203486015394E-2</v>
      </c>
      <c r="CF93" s="8">
        <f t="shared" si="421"/>
        <v>1.4859773964001732E-2</v>
      </c>
      <c r="CG93" s="8">
        <f t="shared" si="421"/>
        <v>6.4905346369877215E-2</v>
      </c>
      <c r="CH93" s="8">
        <f t="shared" si="421"/>
        <v>0.13171465406102278</v>
      </c>
      <c r="CI93" s="8">
        <f t="shared" si="421"/>
        <v>0.15513812154696138</v>
      </c>
      <c r="CJ93" s="8">
        <f t="shared" si="421"/>
        <v>2.0829036914827848E-2</v>
      </c>
      <c r="CK93" s="8">
        <f t="shared" si="421"/>
        <v>-8.8298495799960963E-2</v>
      </c>
      <c r="CL93" s="8">
        <f t="shared" si="421"/>
        <v>-6.4363014999050727E-2</v>
      </c>
      <c r="CM93" s="8">
        <f t="shared" si="421"/>
        <v>6.1220585421848384E-3</v>
      </c>
      <c r="CN93" s="8">
        <f t="shared" si="421"/>
        <v>0.11494949494949491</v>
      </c>
      <c r="CO93" s="8">
        <f t="shared" si="421"/>
        <v>0.26612384829655023</v>
      </c>
      <c r="CP93" s="8">
        <f t="shared" si="421"/>
        <v>0.21387987012987009</v>
      </c>
      <c r="CQ93" s="8">
        <f t="shared" si="421"/>
        <v>0.19623502567027962</v>
      </c>
      <c r="CR93" s="8">
        <f t="shared" si="421"/>
        <v>0.22141692335568042</v>
      </c>
      <c r="CS93" s="8">
        <f t="shared" si="421"/>
        <v>8.9185987476730455E-2</v>
      </c>
      <c r="CT93" s="8">
        <f t="shared" si="421"/>
        <v>0.1359077231695085</v>
      </c>
      <c r="CU93" s="8">
        <f t="shared" si="421"/>
        <v>-1.1127006835160991E-3</v>
      </c>
      <c r="CV93" s="8">
        <f t="shared" si="421"/>
        <v>-1.2757751075508139E-2</v>
      </c>
      <c r="CW93" s="8">
        <f t="shared" si="421"/>
        <v>3.2473586078309413E-2</v>
      </c>
      <c r="CX93" s="8">
        <f t="shared" si="421"/>
        <v>-7.8587196467991172E-2</v>
      </c>
      <c r="CY93" s="8">
        <f t="shared" si="421"/>
        <v>-7.0019096117123203E-3</v>
      </c>
      <c r="CZ93" s="8">
        <f t="shared" si="421"/>
        <v>-0.11254695717505636</v>
      </c>
      <c r="DA93" s="8">
        <f t="shared" si="421"/>
        <v>-0.15063957863054933</v>
      </c>
      <c r="DB93" s="8">
        <f t="shared" si="421"/>
        <v>-0.10653250279508064</v>
      </c>
      <c r="DC93" s="8">
        <f t="shared" si="421"/>
        <v>-6.1698717948717952E-2</v>
      </c>
      <c r="DD93" s="8">
        <f t="shared" si="421"/>
        <v>-3.7927531324077224E-2</v>
      </c>
      <c r="DE93" s="8">
        <f t="shared" si="421"/>
        <v>0.16548547129695246</v>
      </c>
      <c r="DF93" s="8">
        <f t="shared" si="421"/>
        <v>-0.18859492313192705</v>
      </c>
      <c r="DG93" s="8">
        <f t="shared" si="421"/>
        <v>-0.13646456020495301</v>
      </c>
      <c r="DH93" s="8">
        <f t="shared" si="421"/>
        <v>-6.4237944385779677E-2</v>
      </c>
      <c r="DI93" s="8">
        <f t="shared" si="421"/>
        <v>-0.15810276679841895</v>
      </c>
      <c r="DJ93" s="8">
        <f t="shared" si="421"/>
        <v>-1</v>
      </c>
      <c r="DK93" s="8">
        <f t="shared" si="421"/>
        <v>-1</v>
      </c>
      <c r="DL93" s="8"/>
    </row>
    <row r="94" spans="2:116">
      <c r="B94" s="3" t="s">
        <v>17</v>
      </c>
      <c r="C94" s="3"/>
      <c r="D94" s="3"/>
      <c r="E94" s="3"/>
      <c r="F94" s="3"/>
      <c r="G94" s="3"/>
      <c r="H94" s="3"/>
      <c r="I94" s="3"/>
      <c r="J94" s="3"/>
      <c r="K94" s="7"/>
      <c r="L94" s="7"/>
      <c r="M94" s="7"/>
      <c r="N94" s="7">
        <f t="shared" ref="N94:T94" si="422">N92-N93</f>
        <v>160</v>
      </c>
      <c r="O94" s="7">
        <f t="shared" si="422"/>
        <v>111</v>
      </c>
      <c r="P94" s="7">
        <f t="shared" si="422"/>
        <v>60</v>
      </c>
      <c r="Q94" s="7">
        <f t="shared" si="422"/>
        <v>111</v>
      </c>
      <c r="R94" s="7">
        <f t="shared" si="422"/>
        <v>478</v>
      </c>
      <c r="S94" s="7">
        <f t="shared" si="422"/>
        <v>223</v>
      </c>
      <c r="T94" s="7">
        <f t="shared" si="422"/>
        <v>332</v>
      </c>
      <c r="U94" s="7">
        <f>U92-U93</f>
        <v>168</v>
      </c>
      <c r="V94" s="7">
        <f>V92-V93</f>
        <v>-114</v>
      </c>
      <c r="W94" s="7">
        <f t="shared" ref="W94:AL94" si="423">W92-W93</f>
        <v>106</v>
      </c>
      <c r="X94" s="7">
        <f t="shared" si="423"/>
        <v>115</v>
      </c>
      <c r="Y94" s="7">
        <f t="shared" si="423"/>
        <v>184</v>
      </c>
      <c r="Z94" s="7">
        <f t="shared" si="423"/>
        <v>199</v>
      </c>
      <c r="AA94" s="7">
        <f t="shared" si="423"/>
        <v>101</v>
      </c>
      <c r="AB94" s="7">
        <f t="shared" si="423"/>
        <v>106</v>
      </c>
      <c r="AC94" s="7">
        <f t="shared" si="423"/>
        <v>115</v>
      </c>
      <c r="AD94" s="7">
        <f t="shared" si="423"/>
        <v>60</v>
      </c>
      <c r="AE94" s="7">
        <f t="shared" si="423"/>
        <v>342.67580984375036</v>
      </c>
      <c r="AF94" s="7">
        <f t="shared" si="423"/>
        <v>925</v>
      </c>
      <c r="AG94" s="7">
        <f t="shared" si="423"/>
        <v>643</v>
      </c>
      <c r="AH94" s="7">
        <f t="shared" si="423"/>
        <v>1157</v>
      </c>
      <c r="AI94" s="7">
        <f t="shared" si="423"/>
        <v>745</v>
      </c>
      <c r="AJ94" s="7">
        <f t="shared" si="423"/>
        <v>543</v>
      </c>
      <c r="AK94" s="7">
        <f t="shared" si="423"/>
        <v>874</v>
      </c>
      <c r="AL94" s="7">
        <f t="shared" si="423"/>
        <v>934</v>
      </c>
      <c r="AM94" s="7">
        <f t="shared" ref="AM94:AU94" si="424">AM92-AM93</f>
        <v>668</v>
      </c>
      <c r="AN94" s="7">
        <f t="shared" si="424"/>
        <v>578</v>
      </c>
      <c r="AO94" s="7">
        <f t="shared" si="424"/>
        <v>693</v>
      </c>
      <c r="AP94" s="7">
        <f t="shared" si="424"/>
        <v>1042</v>
      </c>
      <c r="AQ94" s="7">
        <f t="shared" si="424"/>
        <v>776</v>
      </c>
      <c r="AR94" s="7">
        <f t="shared" si="424"/>
        <v>746</v>
      </c>
      <c r="AS94" s="7">
        <f t="shared" si="424"/>
        <v>469</v>
      </c>
      <c r="AT94" s="7">
        <f t="shared" si="424"/>
        <v>533</v>
      </c>
      <c r="AU94" s="7">
        <f t="shared" si="424"/>
        <v>642</v>
      </c>
      <c r="AV94" s="374">
        <f>AU94</f>
        <v>642</v>
      </c>
      <c r="AW94" s="374">
        <f>AV94</f>
        <v>642</v>
      </c>
      <c r="AX94" s="374">
        <f>AW94</f>
        <v>642</v>
      </c>
      <c r="AY94" s="7"/>
      <c r="AZ94" s="7"/>
      <c r="BA94" s="7"/>
      <c r="BB94" s="7"/>
      <c r="BC94" s="7"/>
      <c r="BD94" s="7"/>
      <c r="BE94" s="7"/>
      <c r="BF94" s="7"/>
      <c r="BG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3"/>
      <c r="CA94" s="3"/>
      <c r="CB94" s="3"/>
      <c r="CC94" s="3"/>
      <c r="CD94" s="3"/>
      <c r="CE94" s="3"/>
      <c r="CF94" s="3"/>
      <c r="CG94" s="3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</row>
    <row r="95" spans="2:116">
      <c r="B95" s="3"/>
      <c r="C95" s="3"/>
      <c r="D95" s="3"/>
      <c r="E95" s="3"/>
      <c r="F95" s="3"/>
      <c r="G95" s="3"/>
      <c r="H95" s="3"/>
      <c r="I95" s="3"/>
      <c r="J95" s="3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3"/>
      <c r="CA95" s="3"/>
      <c r="CB95" s="3"/>
      <c r="CC95" s="3"/>
      <c r="CD95" s="3"/>
      <c r="CE95" s="3"/>
      <c r="CF95" s="3"/>
      <c r="CG95" s="3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</row>
    <row r="96" spans="2:116">
      <c r="B96" s="3" t="s">
        <v>1060</v>
      </c>
      <c r="C96" s="3"/>
      <c r="D96" s="3"/>
      <c r="E96" s="3"/>
      <c r="F96" s="3"/>
      <c r="G96" s="3"/>
      <c r="H96" s="3"/>
      <c r="I96" s="3"/>
      <c r="J96" s="3"/>
      <c r="K96" s="7">
        <v>73</v>
      </c>
      <c r="L96" s="7">
        <v>291</v>
      </c>
      <c r="M96" s="7">
        <v>173</v>
      </c>
      <c r="N96" s="7">
        <v>44</v>
      </c>
      <c r="O96" s="7">
        <v>498</v>
      </c>
      <c r="P96" s="7">
        <v>464</v>
      </c>
      <c r="Q96" s="7">
        <v>147</v>
      </c>
      <c r="R96" s="7">
        <v>-178</v>
      </c>
      <c r="S96" s="7">
        <f>942-T96</f>
        <v>491</v>
      </c>
      <c r="T96" s="7">
        <v>451</v>
      </c>
      <c r="U96" s="7">
        <v>399</v>
      </c>
      <c r="V96" s="7">
        <v>502</v>
      </c>
      <c r="W96" s="7">
        <v>985</v>
      </c>
      <c r="X96" s="7">
        <v>832</v>
      </c>
      <c r="Y96" s="7">
        <v>1097</v>
      </c>
      <c r="Z96" s="7">
        <v>676</v>
      </c>
      <c r="AA96" s="7">
        <v>1181</v>
      </c>
      <c r="AB96" s="7">
        <v>1039</v>
      </c>
      <c r="AC96" s="7">
        <v>1032</v>
      </c>
      <c r="AD96" s="7">
        <v>814</v>
      </c>
      <c r="AE96" s="7">
        <v>1206</v>
      </c>
      <c r="AF96" s="7">
        <v>1735</v>
      </c>
      <c r="AG96" s="7">
        <v>1619</v>
      </c>
      <c r="AH96" s="7">
        <v>1255</v>
      </c>
      <c r="AI96" s="7">
        <v>1757</v>
      </c>
      <c r="AJ96" s="7">
        <v>1471</v>
      </c>
      <c r="AK96" s="7">
        <v>1646</v>
      </c>
      <c r="AL96" s="7">
        <v>1317</v>
      </c>
      <c r="AM96" s="7">
        <v>1581</v>
      </c>
      <c r="AN96" s="7">
        <v>1369</v>
      </c>
      <c r="AO96" s="7">
        <v>1057</v>
      </c>
      <c r="AP96" s="7">
        <v>752</v>
      </c>
      <c r="AQ96" s="7">
        <v>809</v>
      </c>
      <c r="AR96" s="7">
        <v>730</v>
      </c>
      <c r="AS96" s="7">
        <v>351</v>
      </c>
      <c r="AT96" s="7">
        <v>988</v>
      </c>
      <c r="AU96" s="7">
        <v>488</v>
      </c>
      <c r="AV96" s="7">
        <v>917</v>
      </c>
      <c r="AW96" s="7">
        <v>386</v>
      </c>
      <c r="AX96" s="7">
        <v>1416</v>
      </c>
      <c r="AY96" s="7"/>
      <c r="AZ96" s="7"/>
      <c r="BA96" s="7"/>
      <c r="BB96" s="7"/>
      <c r="BC96" s="7"/>
      <c r="BD96" s="7"/>
      <c r="BE96" s="7"/>
      <c r="BF96" s="7"/>
      <c r="BG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8">
        <f t="shared" ref="BZ96:DK96" si="425">O96/K96-1</f>
        <v>5.8219178082191778</v>
      </c>
      <c r="CA96" s="8">
        <f t="shared" si="425"/>
        <v>0.59450171821305853</v>
      </c>
      <c r="CB96" s="8">
        <f t="shared" si="425"/>
        <v>-0.1502890173410405</v>
      </c>
      <c r="CC96" s="8">
        <f t="shared" si="425"/>
        <v>-5.0454545454545459</v>
      </c>
      <c r="CD96" s="8">
        <f t="shared" si="425"/>
        <v>-1.4056224899598346E-2</v>
      </c>
      <c r="CE96" s="8">
        <f t="shared" si="425"/>
        <v>-2.8017241379310387E-2</v>
      </c>
      <c r="CF96" s="8">
        <f t="shared" si="425"/>
        <v>1.7142857142857144</v>
      </c>
      <c r="CG96" s="8">
        <f t="shared" si="425"/>
        <v>-3.8202247191011236</v>
      </c>
      <c r="CH96" s="8">
        <f t="shared" si="425"/>
        <v>1.0061099796334014</v>
      </c>
      <c r="CI96" s="8">
        <f t="shared" si="425"/>
        <v>0.84478935698447888</v>
      </c>
      <c r="CJ96" s="8">
        <f t="shared" si="425"/>
        <v>1.7493734335839597</v>
      </c>
      <c r="CK96" s="8">
        <f t="shared" si="425"/>
        <v>0.34661354581673298</v>
      </c>
      <c r="CL96" s="8">
        <f t="shared" si="425"/>
        <v>0.19898477157360417</v>
      </c>
      <c r="CM96" s="8">
        <f t="shared" si="425"/>
        <v>0.24879807692307687</v>
      </c>
      <c r="CN96" s="8">
        <f t="shared" si="425"/>
        <v>-5.9252506836827701E-2</v>
      </c>
      <c r="CO96" s="8">
        <f t="shared" si="425"/>
        <v>0.20414201183431957</v>
      </c>
      <c r="CP96" s="8">
        <f t="shared" si="425"/>
        <v>2.1168501270110163E-2</v>
      </c>
      <c r="CQ96" s="8">
        <f t="shared" si="425"/>
        <v>0.66987487969201154</v>
      </c>
      <c r="CR96" s="8">
        <f t="shared" si="425"/>
        <v>0.568798449612403</v>
      </c>
      <c r="CS96" s="8">
        <f t="shared" si="425"/>
        <v>0.54176904176904173</v>
      </c>
      <c r="CT96" s="8">
        <f t="shared" si="425"/>
        <v>0.45688225538971805</v>
      </c>
      <c r="CU96" s="8">
        <f t="shared" si="425"/>
        <v>-0.1521613832853026</v>
      </c>
      <c r="CV96" s="8">
        <f t="shared" si="425"/>
        <v>1.6676961087090714E-2</v>
      </c>
      <c r="CW96" s="8">
        <f t="shared" si="425"/>
        <v>4.9402390438247012E-2</v>
      </c>
      <c r="CX96" s="8">
        <f t="shared" si="425"/>
        <v>-0.10017074558907224</v>
      </c>
      <c r="CY96" s="8">
        <f t="shared" si="425"/>
        <v>-6.9340584636301883E-2</v>
      </c>
      <c r="CZ96" s="8">
        <f t="shared" si="425"/>
        <v>-0.35783718104495743</v>
      </c>
      <c r="DA96" s="8">
        <f t="shared" si="425"/>
        <v>-0.42900531511009876</v>
      </c>
      <c r="DB96" s="8">
        <f t="shared" si="425"/>
        <v>-0.48829854522454141</v>
      </c>
      <c r="DC96" s="8">
        <f t="shared" si="425"/>
        <v>-0.466764061358656</v>
      </c>
      <c r="DD96" s="8">
        <f t="shared" si="425"/>
        <v>-0.66792809839167455</v>
      </c>
      <c r="DE96" s="8">
        <f t="shared" si="425"/>
        <v>0.31382978723404253</v>
      </c>
      <c r="DF96" s="8">
        <f t="shared" si="425"/>
        <v>-0.39678615574783682</v>
      </c>
      <c r="DG96" s="8">
        <f t="shared" si="425"/>
        <v>0.25616438356164384</v>
      </c>
      <c r="DH96" s="8">
        <f t="shared" si="425"/>
        <v>9.9715099715099731E-2</v>
      </c>
      <c r="DI96" s="8">
        <f t="shared" si="425"/>
        <v>0.4331983805668016</v>
      </c>
      <c r="DJ96" s="8">
        <f t="shared" si="425"/>
        <v>-1</v>
      </c>
      <c r="DK96" s="8">
        <f t="shared" si="425"/>
        <v>-1</v>
      </c>
      <c r="DL96" s="8"/>
    </row>
    <row r="97" spans="2:116">
      <c r="B97" s="3" t="s">
        <v>5</v>
      </c>
      <c r="C97" s="3"/>
      <c r="D97" s="3"/>
      <c r="E97" s="3"/>
      <c r="F97" s="3"/>
      <c r="G97" s="3"/>
      <c r="H97" s="3"/>
      <c r="I97" s="3"/>
      <c r="J97" s="3"/>
      <c r="K97" s="7"/>
      <c r="L97" s="7"/>
      <c r="M97" s="7"/>
      <c r="N97" s="8">
        <f>N96/N93</f>
        <v>9.107845166632168E-3</v>
      </c>
      <c r="O97" s="8">
        <f t="shared" ref="O97:AL97" si="426">O96/O93</f>
        <v>0.10179885527391661</v>
      </c>
      <c r="P97" s="8">
        <f t="shared" si="426"/>
        <v>9.4041345764085932E-2</v>
      </c>
      <c r="Q97" s="8">
        <f t="shared" si="426"/>
        <v>3.0766010883214734E-2</v>
      </c>
      <c r="R97" s="8">
        <f t="shared" si="426"/>
        <v>-3.7029332223840236E-2</v>
      </c>
      <c r="S97" s="8">
        <f t="shared" si="426"/>
        <v>0.10550064460678986</v>
      </c>
      <c r="T97" s="8">
        <f t="shared" si="426"/>
        <v>9.9668508287292817E-2</v>
      </c>
      <c r="U97" s="8">
        <f t="shared" si="426"/>
        <v>8.2285007217983083E-2</v>
      </c>
      <c r="V97" s="8">
        <f t="shared" si="426"/>
        <v>9.8066028521195545E-2</v>
      </c>
      <c r="W97" s="8">
        <f t="shared" si="426"/>
        <v>0.18701348015948357</v>
      </c>
      <c r="X97" s="8">
        <f t="shared" si="426"/>
        <v>0.15917352209680505</v>
      </c>
      <c r="Y97" s="8">
        <f t="shared" si="426"/>
        <v>0.22161616161616163</v>
      </c>
      <c r="Z97" s="8">
        <f t="shared" si="426"/>
        <v>0.14484679665738162</v>
      </c>
      <c r="AA97" s="8">
        <f t="shared" si="426"/>
        <v>0.23965097402597402</v>
      </c>
      <c r="AB97" s="8">
        <f t="shared" si="426"/>
        <v>0.19756607720098879</v>
      </c>
      <c r="AC97" s="8">
        <f t="shared" si="426"/>
        <v>0.18699039681101648</v>
      </c>
      <c r="AD97" s="8">
        <f t="shared" si="426"/>
        <v>0.13775596547639193</v>
      </c>
      <c r="AE97" s="8">
        <f t="shared" si="426"/>
        <v>0.20160481444332998</v>
      </c>
      <c r="AF97" s="8">
        <f t="shared" si="426"/>
        <v>0.27579081227149899</v>
      </c>
      <c r="AG97" s="8">
        <f t="shared" si="426"/>
        <v>0.24017208129357662</v>
      </c>
      <c r="AH97" s="8">
        <f t="shared" si="426"/>
        <v>0.19499689247980112</v>
      </c>
      <c r="AI97" s="8">
        <f t="shared" si="426"/>
        <v>0.25857247976453274</v>
      </c>
      <c r="AJ97" s="8">
        <f t="shared" si="426"/>
        <v>0.23408656906429026</v>
      </c>
      <c r="AK97" s="8">
        <f t="shared" si="426"/>
        <v>0.24733283245679941</v>
      </c>
      <c r="AL97" s="8">
        <f t="shared" si="426"/>
        <v>0.19819413092550789</v>
      </c>
      <c r="AM97" s="8">
        <f t="shared" ref="AM97:AX97" si="427">AM96/AM93</f>
        <v>0.25251557259223767</v>
      </c>
      <c r="AN97" s="8">
        <f t="shared" si="427"/>
        <v>0.21939102564102564</v>
      </c>
      <c r="AO97" s="8">
        <f t="shared" si="427"/>
        <v>0.17897053843548932</v>
      </c>
      <c r="AP97" s="8">
        <f t="shared" si="427"/>
        <v>0.13323883770375619</v>
      </c>
      <c r="AQ97" s="8">
        <f t="shared" si="427"/>
        <v>0.14461923489452985</v>
      </c>
      <c r="AR97" s="8">
        <f t="shared" si="427"/>
        <v>0.12467976088812981</v>
      </c>
      <c r="AS97" s="8">
        <f t="shared" si="427"/>
        <v>6.1774023231256601E-2</v>
      </c>
      <c r="AT97" s="8">
        <f t="shared" si="427"/>
        <v>0.15019762845849802</v>
      </c>
      <c r="AU97" s="8">
        <f t="shared" si="427"/>
        <v>0.10751266798854373</v>
      </c>
      <c r="AV97" s="8">
        <f t="shared" si="427"/>
        <v>0.18136867088607594</v>
      </c>
      <c r="AW97" s="8">
        <f t="shared" si="427"/>
        <v>7.2597329321045706E-2</v>
      </c>
      <c r="AX97" s="8">
        <f t="shared" si="427"/>
        <v>0.25568797399783316</v>
      </c>
      <c r="AY97" s="8"/>
      <c r="AZ97" s="8"/>
      <c r="BA97" s="8"/>
      <c r="BB97" s="8"/>
      <c r="BC97" s="8"/>
      <c r="BD97" s="8"/>
      <c r="BE97" s="8"/>
      <c r="BF97" s="8"/>
      <c r="BG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</row>
    <row r="98" spans="2:116">
      <c r="B98" s="3"/>
      <c r="C98" s="3"/>
      <c r="D98" s="3"/>
      <c r="E98" s="3"/>
      <c r="F98" s="3"/>
      <c r="G98" s="3"/>
      <c r="H98" s="3"/>
      <c r="I98" s="3"/>
      <c r="J98" s="3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3"/>
      <c r="CA98" s="3"/>
      <c r="CB98" s="3"/>
      <c r="CC98" s="3"/>
      <c r="CD98" s="3"/>
      <c r="CE98" s="3"/>
      <c r="CF98" s="3"/>
      <c r="CG98" s="3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</row>
    <row r="99" spans="2:116">
      <c r="B99" s="95" t="s">
        <v>721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</row>
    <row r="100" spans="2:116">
      <c r="B100" s="3" t="s">
        <v>18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>
        <v>20687</v>
      </c>
      <c r="O100" s="3">
        <v>19170</v>
      </c>
      <c r="P100" s="3">
        <v>19489</v>
      </c>
      <c r="Q100" s="3">
        <v>21001</v>
      </c>
      <c r="R100" s="3">
        <v>25070</v>
      </c>
      <c r="S100" s="3">
        <v>21860</v>
      </c>
      <c r="T100" s="3">
        <v>23156</v>
      </c>
      <c r="U100" s="3">
        <v>23525</v>
      </c>
      <c r="V100" s="3">
        <v>25163</v>
      </c>
      <c r="W100" s="3">
        <v>23861</v>
      </c>
      <c r="X100" s="3">
        <v>26112</v>
      </c>
      <c r="Y100" s="3">
        <v>25863</v>
      </c>
      <c r="Z100" s="3">
        <v>29529</v>
      </c>
      <c r="AA100" s="3">
        <v>26513</v>
      </c>
      <c r="AB100" s="3">
        <v>28541</v>
      </c>
      <c r="AC100" s="3">
        <v>29317</v>
      </c>
      <c r="AD100" s="3">
        <v>36293</v>
      </c>
      <c r="AE100" s="3">
        <v>34019</v>
      </c>
      <c r="AF100" s="3">
        <v>32642</v>
      </c>
      <c r="AG100" s="3">
        <v>34705</v>
      </c>
      <c r="AH100" s="3">
        <v>35476</v>
      </c>
      <c r="AI100" s="3">
        <v>34859</v>
      </c>
      <c r="AJ100" s="3">
        <v>37229</v>
      </c>
      <c r="AK100" s="3">
        <v>37215</v>
      </c>
      <c r="AL100" s="3">
        <v>41364</v>
      </c>
      <c r="AM100" s="3">
        <v>39395</v>
      </c>
      <c r="AN100" s="3">
        <v>45093</v>
      </c>
      <c r="AO100" s="3">
        <v>44154</v>
      </c>
      <c r="AP100" s="3">
        <v>46641</v>
      </c>
      <c r="AQ100" s="3">
        <v>46916</v>
      </c>
      <c r="AR100" s="3">
        <v>45075</v>
      </c>
      <c r="AS100" s="3">
        <v>48301</v>
      </c>
      <c r="AT100" s="3">
        <v>48630</v>
      </c>
      <c r="AU100" s="3">
        <v>45726</v>
      </c>
      <c r="AV100" s="3">
        <v>47081</v>
      </c>
      <c r="AW100" s="3">
        <v>49700</v>
      </c>
      <c r="AX100" s="3">
        <v>53920</v>
      </c>
      <c r="AY100" s="3">
        <v>48487</v>
      </c>
      <c r="AZ100" s="3">
        <v>51595</v>
      </c>
      <c r="BA100" s="3">
        <v>50224</v>
      </c>
      <c r="BB100" s="3">
        <v>52780</v>
      </c>
      <c r="BC100" s="3"/>
      <c r="BD100" s="3"/>
      <c r="BE100" s="3"/>
      <c r="BF100" s="3"/>
      <c r="BG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8">
        <f t="shared" ref="CC100:CL103" si="428">R100/N100-1</f>
        <v>0.21187219026441717</v>
      </c>
      <c r="CD100" s="8">
        <f t="shared" si="428"/>
        <v>0.14032342201356296</v>
      </c>
      <c r="CE100" s="8">
        <f t="shared" si="428"/>
        <v>0.18815742213556375</v>
      </c>
      <c r="CF100" s="8">
        <f t="shared" si="428"/>
        <v>0.12018475310699483</v>
      </c>
      <c r="CG100" s="8">
        <f t="shared" si="428"/>
        <v>3.7096130833664809E-3</v>
      </c>
      <c r="CH100" s="8">
        <f t="shared" si="428"/>
        <v>9.1537053979871885E-2</v>
      </c>
      <c r="CI100" s="8">
        <f t="shared" si="428"/>
        <v>0.12765589911901887</v>
      </c>
      <c r="CJ100" s="8">
        <f t="shared" si="428"/>
        <v>9.9383634431455814E-2</v>
      </c>
      <c r="CK100" s="8">
        <f t="shared" si="428"/>
        <v>0.17350872312522347</v>
      </c>
      <c r="CL100" s="8">
        <f t="shared" si="428"/>
        <v>0.11114370730480694</v>
      </c>
      <c r="CM100" s="8">
        <f t="shared" ref="CM100:CV103" si="429">AB100/X100-1</f>
        <v>9.3022365196078427E-2</v>
      </c>
      <c r="CN100" s="8">
        <f t="shared" si="429"/>
        <v>0.1335498588717472</v>
      </c>
      <c r="CO100" s="8">
        <f t="shared" si="429"/>
        <v>0.22906295506112628</v>
      </c>
      <c r="CP100" s="8">
        <f t="shared" si="429"/>
        <v>0.28310640063365144</v>
      </c>
      <c r="CQ100" s="8">
        <f t="shared" si="429"/>
        <v>0.14368802774955336</v>
      </c>
      <c r="CR100" s="8">
        <f t="shared" si="429"/>
        <v>0.1837841525394821</v>
      </c>
      <c r="CS100" s="8">
        <f t="shared" si="429"/>
        <v>-2.2511228060507538E-2</v>
      </c>
      <c r="CT100" s="8">
        <f t="shared" si="429"/>
        <v>2.4692083835503587E-2</v>
      </c>
      <c r="CU100" s="8">
        <f t="shared" si="429"/>
        <v>0.14052447766680953</v>
      </c>
      <c r="CV100" s="8">
        <f t="shared" si="429"/>
        <v>7.2323872640829956E-2</v>
      </c>
      <c r="CW100" s="8">
        <f t="shared" ref="CW100:DF103" si="430">AL100/AH100-1</f>
        <v>0.1659713609200586</v>
      </c>
      <c r="CX100" s="8">
        <f t="shared" si="430"/>
        <v>0.13012421469347935</v>
      </c>
      <c r="CY100" s="8">
        <f t="shared" si="430"/>
        <v>0.2112331784361654</v>
      </c>
      <c r="CZ100" s="8">
        <f t="shared" si="430"/>
        <v>0.18645707376058041</v>
      </c>
      <c r="DA100" s="8">
        <f t="shared" si="430"/>
        <v>0.12757470263997672</v>
      </c>
      <c r="DB100" s="8">
        <f t="shared" si="430"/>
        <v>0.19091255235435978</v>
      </c>
      <c r="DC100" s="8">
        <f t="shared" si="430"/>
        <v>-3.9917503825426248E-4</v>
      </c>
      <c r="DD100" s="8">
        <f t="shared" si="430"/>
        <v>9.3921275535625348E-2</v>
      </c>
      <c r="DE100" s="8">
        <f t="shared" si="430"/>
        <v>4.2644883257219934E-2</v>
      </c>
      <c r="DF100" s="8">
        <f t="shared" si="430"/>
        <v>-2.5364481200443323E-2</v>
      </c>
      <c r="DG100" s="8">
        <f t="shared" ref="DG100:DK103" si="431">AV100/AR100-1</f>
        <v>4.4503605102606869E-2</v>
      </c>
      <c r="DH100" s="8">
        <f t="shared" si="431"/>
        <v>2.8964203639676223E-2</v>
      </c>
      <c r="DI100" s="8">
        <f t="shared" si="431"/>
        <v>0.10878058811433267</v>
      </c>
      <c r="DJ100" s="8">
        <f t="shared" si="431"/>
        <v>6.0381402265669459E-2</v>
      </c>
      <c r="DK100" s="8">
        <f t="shared" si="431"/>
        <v>9.5877317813980234E-2</v>
      </c>
      <c r="DL100" s="8"/>
    </row>
    <row r="101" spans="2:116">
      <c r="B101" s="3" t="s">
        <v>19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>
        <v>9963</v>
      </c>
      <c r="O101" s="3">
        <v>9741</v>
      </c>
      <c r="P101" s="3">
        <v>9814</v>
      </c>
      <c r="Q101" s="3">
        <v>9643</v>
      </c>
      <c r="R101" s="3">
        <v>10479</v>
      </c>
      <c r="S101" s="3">
        <v>9786</v>
      </c>
      <c r="T101" s="3">
        <v>10696</v>
      </c>
      <c r="U101" s="3">
        <v>10071</v>
      </c>
      <c r="V101" s="3">
        <v>11152</v>
      </c>
      <c r="W101" s="307">
        <v>9675</v>
      </c>
      <c r="X101" s="3">
        <v>10348</v>
      </c>
      <c r="Y101" s="3">
        <v>10246</v>
      </c>
      <c r="Z101" s="3">
        <v>11200</v>
      </c>
      <c r="AA101" s="307">
        <v>11134</v>
      </c>
      <c r="AB101" s="7">
        <v>10368</v>
      </c>
      <c r="AC101" s="7">
        <v>10148</v>
      </c>
      <c r="AD101" s="7">
        <v>11510</v>
      </c>
      <c r="AE101" s="7">
        <v>11248</v>
      </c>
      <c r="AF101" s="7">
        <v>12612</v>
      </c>
      <c r="AG101" s="7">
        <v>12905</v>
      </c>
      <c r="AH101" s="7">
        <v>13804</v>
      </c>
      <c r="AI101" s="7">
        <v>13921</v>
      </c>
      <c r="AJ101" s="7">
        <v>14799</v>
      </c>
      <c r="AK101" s="7">
        <v>15863</v>
      </c>
      <c r="AL101" s="7">
        <v>16239</v>
      </c>
      <c r="AM101" s="7">
        <v>15275</v>
      </c>
      <c r="AN101" s="7">
        <v>16047</v>
      </c>
      <c r="AO101" s="7">
        <v>16205</v>
      </c>
      <c r="AP101" s="7">
        <v>16005</v>
      </c>
      <c r="AQ101" s="7">
        <v>14951</v>
      </c>
      <c r="AR101" s="7">
        <v>14626</v>
      </c>
      <c r="AS101" s="7">
        <v>13941</v>
      </c>
      <c r="AT101" s="7">
        <v>13726</v>
      </c>
      <c r="AU101" s="7">
        <v>13384</v>
      </c>
      <c r="AV101" s="7">
        <v>13290</v>
      </c>
      <c r="AW101" s="7">
        <v>13030</v>
      </c>
      <c r="AX101" s="7">
        <v>13141</v>
      </c>
      <c r="AY101" s="7">
        <v>12585</v>
      </c>
      <c r="AZ101" s="7">
        <v>13831</v>
      </c>
      <c r="BA101" s="7">
        <v>12349</v>
      </c>
      <c r="BB101" s="7">
        <v>12091</v>
      </c>
      <c r="BC101" s="7"/>
      <c r="BD101" s="7"/>
      <c r="BE101" s="7"/>
      <c r="BF101" s="7"/>
      <c r="BG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3"/>
      <c r="CA101" s="3"/>
      <c r="CB101" s="3"/>
      <c r="CC101" s="8">
        <f t="shared" si="428"/>
        <v>5.179162902740142E-2</v>
      </c>
      <c r="CD101" s="8">
        <f t="shared" si="428"/>
        <v>4.6196489066829827E-3</v>
      </c>
      <c r="CE101" s="8">
        <f t="shared" si="428"/>
        <v>8.9871611982881516E-2</v>
      </c>
      <c r="CF101" s="8">
        <f t="shared" si="428"/>
        <v>4.4384527636627702E-2</v>
      </c>
      <c r="CG101" s="8">
        <f t="shared" si="428"/>
        <v>6.422368546617041E-2</v>
      </c>
      <c r="CH101" s="8">
        <f t="shared" si="428"/>
        <v>-1.1342734518700159E-2</v>
      </c>
      <c r="CI101" s="8">
        <f t="shared" si="428"/>
        <v>-3.253552729992526E-2</v>
      </c>
      <c r="CJ101" s="8">
        <f t="shared" si="428"/>
        <v>1.7376625955714431E-2</v>
      </c>
      <c r="CK101" s="8">
        <f t="shared" si="428"/>
        <v>4.3041606886657924E-3</v>
      </c>
      <c r="CL101" s="8">
        <f t="shared" si="428"/>
        <v>0.15080103359173136</v>
      </c>
      <c r="CM101" s="8">
        <f t="shared" si="429"/>
        <v>1.9327406262079627E-3</v>
      </c>
      <c r="CN101" s="8">
        <f t="shared" si="429"/>
        <v>-9.5647081788015065E-3</v>
      </c>
      <c r="CO101" s="8">
        <f t="shared" si="429"/>
        <v>2.7678571428571441E-2</v>
      </c>
      <c r="CP101" s="8">
        <f t="shared" si="429"/>
        <v>1.0238907849829282E-2</v>
      </c>
      <c r="CQ101" s="8">
        <f t="shared" si="429"/>
        <v>0.21643518518518512</v>
      </c>
      <c r="CR101" s="8">
        <f t="shared" si="429"/>
        <v>0.27167914860070952</v>
      </c>
      <c r="CS101" s="8">
        <f t="shared" si="429"/>
        <v>0.19930495221546485</v>
      </c>
      <c r="CT101" s="8">
        <f t="shared" si="429"/>
        <v>0.23764224751066854</v>
      </c>
      <c r="CU101" s="8">
        <f t="shared" si="429"/>
        <v>0.17340627973358713</v>
      </c>
      <c r="CV101" s="8">
        <f t="shared" si="429"/>
        <v>0.22921348314606749</v>
      </c>
      <c r="CW101" s="8">
        <f t="shared" si="430"/>
        <v>0.17639814546508248</v>
      </c>
      <c r="CX101" s="8">
        <f t="shared" si="430"/>
        <v>9.7263127648875791E-2</v>
      </c>
      <c r="CY101" s="8">
        <f t="shared" si="430"/>
        <v>8.4330022298803931E-2</v>
      </c>
      <c r="CZ101" s="8">
        <f t="shared" si="430"/>
        <v>2.1559604110193531E-2</v>
      </c>
      <c r="DA101" s="8">
        <f t="shared" si="430"/>
        <v>-1.4409754295215182E-2</v>
      </c>
      <c r="DB101" s="8">
        <f t="shared" si="430"/>
        <v>-2.1211129296235698E-2</v>
      </c>
      <c r="DC101" s="8">
        <f t="shared" si="430"/>
        <v>-8.8552377391412751E-2</v>
      </c>
      <c r="DD101" s="8">
        <f t="shared" si="430"/>
        <v>-0.13970996605985808</v>
      </c>
      <c r="DE101" s="8">
        <f t="shared" si="430"/>
        <v>-0.14239300218681661</v>
      </c>
      <c r="DF101" s="8">
        <f t="shared" si="430"/>
        <v>-0.10480904287338644</v>
      </c>
      <c r="DG101" s="8">
        <f t="shared" si="431"/>
        <v>-9.1344181594420926E-2</v>
      </c>
      <c r="DH101" s="8">
        <f t="shared" si="431"/>
        <v>-6.5346818736102152E-2</v>
      </c>
      <c r="DI101" s="8">
        <f t="shared" si="431"/>
        <v>-4.2619845548593882E-2</v>
      </c>
      <c r="DJ101" s="8">
        <f t="shared" si="431"/>
        <v>-5.9698147041243321E-2</v>
      </c>
      <c r="DK101" s="8">
        <f t="shared" si="431"/>
        <v>4.0707298720842777E-2</v>
      </c>
      <c r="DL101" s="8"/>
    </row>
    <row r="102" spans="2:116">
      <c r="B102" s="3" t="s">
        <v>23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>
        <v>8528</v>
      </c>
      <c r="O102" s="3">
        <v>9028</v>
      </c>
      <c r="P102" s="3">
        <v>8462</v>
      </c>
      <c r="Q102" s="3">
        <v>8198</v>
      </c>
      <c r="R102" s="3">
        <v>8074</v>
      </c>
      <c r="S102" s="3">
        <v>8686</v>
      </c>
      <c r="T102" s="3">
        <v>7460</v>
      </c>
      <c r="U102" s="3">
        <v>7409</v>
      </c>
      <c r="V102" s="3">
        <v>7134</v>
      </c>
      <c r="W102" s="3">
        <v>8241</v>
      </c>
      <c r="X102" s="3">
        <v>7935</v>
      </c>
      <c r="Y102" s="3">
        <v>8336</v>
      </c>
      <c r="Z102" s="3">
        <v>8293</v>
      </c>
      <c r="AA102" s="3">
        <v>9550</v>
      </c>
      <c r="AB102" s="3">
        <v>8244</v>
      </c>
      <c r="AC102" s="3">
        <v>7625</v>
      </c>
      <c r="AD102" s="3">
        <v>6608</v>
      </c>
      <c r="AE102" s="3">
        <v>8132</v>
      </c>
      <c r="AF102" s="3">
        <v>7359</v>
      </c>
      <c r="AG102" s="3">
        <v>5337</v>
      </c>
      <c r="AH102" s="3">
        <v>6133</v>
      </c>
      <c r="AI102" s="3">
        <v>5076</v>
      </c>
      <c r="AJ102" s="3">
        <v>4458</v>
      </c>
      <c r="AK102" s="3">
        <v>4852</v>
      </c>
      <c r="AL102" s="3">
        <v>4766</v>
      </c>
      <c r="AM102" s="3">
        <v>4349</v>
      </c>
      <c r="AN102" s="3">
        <v>4057</v>
      </c>
      <c r="AO102" s="3">
        <v>3777</v>
      </c>
      <c r="AP102" s="3">
        <v>4216</v>
      </c>
      <c r="AQ102" s="3">
        <v>3506</v>
      </c>
      <c r="AR102" s="3">
        <v>3155</v>
      </c>
      <c r="AS102" s="3">
        <v>2815</v>
      </c>
      <c r="AT102" s="3">
        <v>2891</v>
      </c>
      <c r="AU102" s="3">
        <v>2681</v>
      </c>
      <c r="AV102" s="3">
        <v>2491</v>
      </c>
      <c r="AW102" s="3">
        <v>2664</v>
      </c>
      <c r="AX102" s="3">
        <v>2628</v>
      </c>
      <c r="AY102" s="3">
        <v>2163</v>
      </c>
      <c r="AZ102" s="3">
        <v>1927</v>
      </c>
      <c r="BA102" s="3">
        <v>1966</v>
      </c>
      <c r="BB102" s="3">
        <v>1994</v>
      </c>
      <c r="BC102" s="3"/>
      <c r="BD102" s="3"/>
      <c r="BE102" s="3"/>
      <c r="BF102" s="3"/>
      <c r="BG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8">
        <f t="shared" si="428"/>
        <v>-5.3236397748592901E-2</v>
      </c>
      <c r="CD102" s="8">
        <f t="shared" si="428"/>
        <v>-3.7882144439521537E-2</v>
      </c>
      <c r="CE102" s="8">
        <f t="shared" si="428"/>
        <v>-0.11841172299692748</v>
      </c>
      <c r="CF102" s="8">
        <f t="shared" si="428"/>
        <v>-9.6242986094169258E-2</v>
      </c>
      <c r="CG102" s="8">
        <f t="shared" si="428"/>
        <v>-0.11642308645033439</v>
      </c>
      <c r="CH102" s="8">
        <f t="shared" si="428"/>
        <v>-5.1231867372783735E-2</v>
      </c>
      <c r="CI102" s="8">
        <f t="shared" si="428"/>
        <v>6.3672922252010711E-2</v>
      </c>
      <c r="CJ102" s="8">
        <f t="shared" si="428"/>
        <v>0.12511809960858411</v>
      </c>
      <c r="CK102" s="8">
        <f t="shared" si="428"/>
        <v>0.16246145220072883</v>
      </c>
      <c r="CL102" s="8">
        <f t="shared" si="428"/>
        <v>0.15883994660842138</v>
      </c>
      <c r="CM102" s="8">
        <f t="shared" si="429"/>
        <v>3.8941398865784516E-2</v>
      </c>
      <c r="CN102" s="8">
        <f t="shared" si="429"/>
        <v>-8.5292706333973123E-2</v>
      </c>
      <c r="CO102" s="8">
        <f t="shared" si="429"/>
        <v>-0.20318340769323529</v>
      </c>
      <c r="CP102" s="8">
        <f t="shared" si="429"/>
        <v>-0.14848167539267021</v>
      </c>
      <c r="CQ102" s="8">
        <f t="shared" si="429"/>
        <v>-0.10735080058224167</v>
      </c>
      <c r="CR102" s="8">
        <f t="shared" si="429"/>
        <v>-0.30006557377049181</v>
      </c>
      <c r="CS102" s="8">
        <f t="shared" si="429"/>
        <v>-7.1882566585956376E-2</v>
      </c>
      <c r="CT102" s="8">
        <f t="shared" si="429"/>
        <v>-0.37579931136251843</v>
      </c>
      <c r="CU102" s="8">
        <f t="shared" si="429"/>
        <v>-0.39421116999592332</v>
      </c>
      <c r="CV102" s="8">
        <f t="shared" si="429"/>
        <v>-9.0875023421397749E-2</v>
      </c>
      <c r="CW102" s="8">
        <f t="shared" si="430"/>
        <v>-0.22289254850807105</v>
      </c>
      <c r="CX102" s="8">
        <f t="shared" si="430"/>
        <v>-0.14322301024428685</v>
      </c>
      <c r="CY102" s="8">
        <f t="shared" si="430"/>
        <v>-8.9950650515926434E-2</v>
      </c>
      <c r="CZ102" s="8">
        <f t="shared" si="430"/>
        <v>-0.22155812036273703</v>
      </c>
      <c r="DA102" s="8">
        <f t="shared" si="430"/>
        <v>-0.11540075535039862</v>
      </c>
      <c r="DB102" s="8">
        <f t="shared" si="430"/>
        <v>-0.19383766383076573</v>
      </c>
      <c r="DC102" s="8">
        <f t="shared" si="430"/>
        <v>-0.2223317722455016</v>
      </c>
      <c r="DD102" s="8">
        <f t="shared" si="430"/>
        <v>-0.25469949695525551</v>
      </c>
      <c r="DE102" s="8">
        <f t="shared" si="430"/>
        <v>-0.31427893738140422</v>
      </c>
      <c r="DF102" s="8">
        <f t="shared" si="430"/>
        <v>-0.23531089560752994</v>
      </c>
      <c r="DG102" s="8">
        <f t="shared" si="431"/>
        <v>-0.21045958795562603</v>
      </c>
      <c r="DH102" s="8">
        <f t="shared" si="431"/>
        <v>-5.364120781527526E-2</v>
      </c>
      <c r="DI102" s="8">
        <f t="shared" si="431"/>
        <v>-9.097198201314427E-2</v>
      </c>
      <c r="DJ102" s="8">
        <f t="shared" si="431"/>
        <v>-0.19321148825065271</v>
      </c>
      <c r="DK102" s="8">
        <f t="shared" si="431"/>
        <v>-0.22641509433962259</v>
      </c>
      <c r="DL102" s="8"/>
    </row>
    <row r="103" spans="2:116">
      <c r="B103" s="3" t="s">
        <v>24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>
        <v>3841</v>
      </c>
      <c r="O103" s="3">
        <v>3869</v>
      </c>
      <c r="P103" s="3">
        <v>3786</v>
      </c>
      <c r="Q103" s="3">
        <v>3962</v>
      </c>
      <c r="R103" s="3">
        <v>4267</v>
      </c>
      <c r="S103" s="3">
        <v>4095</v>
      </c>
      <c r="T103" s="3">
        <v>4193</v>
      </c>
      <c r="U103" s="3">
        <v>4176</v>
      </c>
      <c r="V103" s="3">
        <v>4121</v>
      </c>
      <c r="W103" s="3">
        <v>4126</v>
      </c>
      <c r="X103" s="3">
        <v>4252</v>
      </c>
      <c r="Y103" s="3">
        <v>4244</v>
      </c>
      <c r="Z103" s="3">
        <v>4596</v>
      </c>
      <c r="AA103" s="3">
        <v>4471</v>
      </c>
      <c r="AB103" s="3">
        <v>4616</v>
      </c>
      <c r="AC103" s="3">
        <v>5396</v>
      </c>
      <c r="AD103" s="3">
        <v>6143</v>
      </c>
      <c r="AE103" s="3">
        <v>6285</v>
      </c>
      <c r="AF103" s="3">
        <v>5676</v>
      </c>
      <c r="AG103" s="3">
        <v>5912</v>
      </c>
      <c r="AH103" s="3">
        <v>6224</v>
      </c>
      <c r="AI103" s="3">
        <v>6364</v>
      </c>
      <c r="AJ103" s="3">
        <v>6957</v>
      </c>
      <c r="AK103" s="3">
        <v>7544</v>
      </c>
      <c r="AL103" s="3">
        <v>7833</v>
      </c>
      <c r="AM103" s="3">
        <v>8053</v>
      </c>
      <c r="AN103" s="3">
        <v>8484</v>
      </c>
      <c r="AO103" s="3">
        <v>9093</v>
      </c>
      <c r="AP103" s="3">
        <v>9449</v>
      </c>
      <c r="AQ103" s="3">
        <v>9873</v>
      </c>
      <c r="AR103" s="3">
        <v>10617</v>
      </c>
      <c r="AS103" s="3">
        <v>11563</v>
      </c>
      <c r="AT103" s="3">
        <v>11793</v>
      </c>
      <c r="AU103" s="3">
        <v>11664</v>
      </c>
      <c r="AV103" s="3">
        <v>12185</v>
      </c>
      <c r="AW103" s="3">
        <v>12827</v>
      </c>
      <c r="AX103" s="3">
        <v>12690</v>
      </c>
      <c r="AY103" s="3">
        <v>13157</v>
      </c>
      <c r="AZ103" s="3">
        <v>13787</v>
      </c>
      <c r="BA103" s="3">
        <v>15417</v>
      </c>
      <c r="BB103" s="3">
        <v>15794</v>
      </c>
      <c r="BC103" s="3"/>
      <c r="BD103" s="3"/>
      <c r="BE103" s="3"/>
      <c r="BF103" s="3"/>
      <c r="BG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8">
        <f t="shared" si="428"/>
        <v>0.11090861754751358</v>
      </c>
      <c r="CD103" s="8">
        <f t="shared" si="428"/>
        <v>5.8413026621866093E-2</v>
      </c>
      <c r="CE103" s="8">
        <f t="shared" si="428"/>
        <v>0.10750132065504481</v>
      </c>
      <c r="CF103" s="8">
        <f t="shared" si="428"/>
        <v>5.4013124684502811E-2</v>
      </c>
      <c r="CG103" s="8">
        <f t="shared" si="428"/>
        <v>-3.4216076868994638E-2</v>
      </c>
      <c r="CH103" s="8">
        <f t="shared" si="428"/>
        <v>7.5702075702075433E-3</v>
      </c>
      <c r="CI103" s="8">
        <f t="shared" si="428"/>
        <v>1.4071070832339716E-2</v>
      </c>
      <c r="CJ103" s="8">
        <f t="shared" si="428"/>
        <v>1.6283524904214586E-2</v>
      </c>
      <c r="CK103" s="8">
        <f t="shared" si="428"/>
        <v>0.11526328561028887</v>
      </c>
      <c r="CL103" s="8">
        <f t="shared" si="428"/>
        <v>8.3616093068347164E-2</v>
      </c>
      <c r="CM103" s="8">
        <f t="shared" si="429"/>
        <v>8.5606773283160909E-2</v>
      </c>
      <c r="CN103" s="8">
        <f t="shared" si="429"/>
        <v>0.27144203581526871</v>
      </c>
      <c r="CO103" s="8">
        <f t="shared" si="429"/>
        <v>0.33659704090513487</v>
      </c>
      <c r="CP103" s="8">
        <f t="shared" si="429"/>
        <v>0.40572578841422491</v>
      </c>
      <c r="CQ103" s="8">
        <f t="shared" si="429"/>
        <v>0.22963604852686315</v>
      </c>
      <c r="CR103" s="8">
        <f t="shared" si="429"/>
        <v>9.5626389918458177E-2</v>
      </c>
      <c r="CS103" s="8">
        <f t="shared" si="429"/>
        <v>1.3185739866514723E-2</v>
      </c>
      <c r="CT103" s="8">
        <f t="shared" si="429"/>
        <v>1.256961018297531E-2</v>
      </c>
      <c r="CU103" s="8">
        <f t="shared" si="429"/>
        <v>0.2256871035940804</v>
      </c>
      <c r="CV103" s="8">
        <f t="shared" si="429"/>
        <v>0.27604871447902579</v>
      </c>
      <c r="CW103" s="8">
        <f t="shared" si="430"/>
        <v>0.25851542416452444</v>
      </c>
      <c r="CX103" s="8">
        <f t="shared" si="430"/>
        <v>0.26539912005028277</v>
      </c>
      <c r="CY103" s="8">
        <f t="shared" si="430"/>
        <v>0.21949115998275115</v>
      </c>
      <c r="CZ103" s="8">
        <f t="shared" si="430"/>
        <v>0.2053287380699893</v>
      </c>
      <c r="DA103" s="8">
        <f t="shared" si="430"/>
        <v>0.20630665134686588</v>
      </c>
      <c r="DB103" s="8">
        <f t="shared" si="430"/>
        <v>0.22600273190115483</v>
      </c>
      <c r="DC103" s="8">
        <f t="shared" si="430"/>
        <v>0.25141442715700135</v>
      </c>
      <c r="DD103" s="8">
        <f t="shared" si="430"/>
        <v>0.27163752336962488</v>
      </c>
      <c r="DE103" s="8">
        <f t="shared" si="430"/>
        <v>0.24806857868557519</v>
      </c>
      <c r="DF103" s="8">
        <f t="shared" si="430"/>
        <v>0.18140382862351867</v>
      </c>
      <c r="DG103" s="8">
        <f t="shared" si="431"/>
        <v>0.14768767071677491</v>
      </c>
      <c r="DH103" s="8">
        <f t="shared" si="431"/>
        <v>0.10931419181873214</v>
      </c>
      <c r="DI103" s="8">
        <f t="shared" si="431"/>
        <v>7.6062070719918662E-2</v>
      </c>
      <c r="DJ103" s="8">
        <f t="shared" si="431"/>
        <v>0.12800068587105629</v>
      </c>
      <c r="DK103" s="8">
        <f t="shared" si="431"/>
        <v>0.1314731226918342</v>
      </c>
      <c r="DL103" s="8"/>
    </row>
    <row r="104" spans="2:116">
      <c r="B104" s="3" t="s">
        <v>793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>
        <v>652</v>
      </c>
      <c r="AB104" s="3">
        <v>1274</v>
      </c>
      <c r="AC104" s="3">
        <v>2559</v>
      </c>
      <c r="AD104" s="3">
        <v>3851</v>
      </c>
      <c r="AE104" s="3">
        <v>3883</v>
      </c>
      <c r="AF104" s="3">
        <v>4536</v>
      </c>
      <c r="AG104" s="3">
        <v>4712</v>
      </c>
      <c r="AH104" s="3">
        <v>4888</v>
      </c>
      <c r="AI104" s="3">
        <v>5295</v>
      </c>
      <c r="AJ104" s="3">
        <v>5569</v>
      </c>
      <c r="AK104" s="3">
        <v>5619</v>
      </c>
      <c r="AL104" s="3">
        <v>5935</v>
      </c>
      <c r="AM104" s="3">
        <v>6291</v>
      </c>
      <c r="AN104" s="3">
        <v>6892</v>
      </c>
      <c r="AO104" s="3">
        <v>7096</v>
      </c>
      <c r="AP104" s="3">
        <v>7445</v>
      </c>
      <c r="AQ104" s="3">
        <v>4975</v>
      </c>
      <c r="AR104" s="3">
        <v>8402</v>
      </c>
      <c r="AS104" s="3">
        <v>8280</v>
      </c>
      <c r="AT104" s="3">
        <v>8534</v>
      </c>
      <c r="AU104" s="3">
        <v>8671</v>
      </c>
      <c r="AV104" s="3">
        <v>9316</v>
      </c>
      <c r="AW104" s="3">
        <v>9163</v>
      </c>
      <c r="AX104" s="3">
        <v>9370</v>
      </c>
      <c r="AY104" s="3">
        <v>9650</v>
      </c>
      <c r="AZ104" s="3">
        <v>10196</v>
      </c>
      <c r="BA104" s="3">
        <v>9274</v>
      </c>
      <c r="BB104" s="3">
        <v>9469</v>
      </c>
      <c r="BC104" s="3"/>
      <c r="BD104" s="3"/>
      <c r="BE104" s="3"/>
      <c r="BF104" s="3"/>
      <c r="BG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>
        <f t="shared" ref="CP104:CY106" si="432">AE104/AA104-1</f>
        <v>4.955521472392638</v>
      </c>
      <c r="CQ104" s="8">
        <f t="shared" si="432"/>
        <v>2.5604395604395602</v>
      </c>
      <c r="CR104" s="8">
        <f t="shared" si="432"/>
        <v>0.84134427510746379</v>
      </c>
      <c r="CS104" s="8">
        <f t="shared" si="432"/>
        <v>0.2692807063100493</v>
      </c>
      <c r="CT104" s="8">
        <f t="shared" si="432"/>
        <v>0.36363636363636354</v>
      </c>
      <c r="CU104" s="8">
        <f t="shared" si="432"/>
        <v>0.22773368606701938</v>
      </c>
      <c r="CV104" s="8">
        <f t="shared" si="432"/>
        <v>0.19248726655348047</v>
      </c>
      <c r="CW104" s="8">
        <f t="shared" si="432"/>
        <v>0.21419803600654674</v>
      </c>
      <c r="CX104" s="8">
        <f t="shared" si="432"/>
        <v>0.18810198300283276</v>
      </c>
      <c r="CY104" s="8">
        <f t="shared" si="432"/>
        <v>0.23756509247620761</v>
      </c>
      <c r="CZ104" s="8">
        <f t="shared" ref="CZ104:DI106" si="433">AO104/AK104-1</f>
        <v>0.26285815981491378</v>
      </c>
      <c r="DA104" s="8">
        <f t="shared" si="433"/>
        <v>0.25442291491154179</v>
      </c>
      <c r="DB104" s="8">
        <f t="shared" si="433"/>
        <v>-0.20918772850103318</v>
      </c>
      <c r="DC104" s="8">
        <f t="shared" si="433"/>
        <v>0.21909460243760881</v>
      </c>
      <c r="DD104" s="8">
        <f t="shared" si="433"/>
        <v>0.16685456595264947</v>
      </c>
      <c r="DE104" s="8">
        <f t="shared" si="433"/>
        <v>0.14627266621893886</v>
      </c>
      <c r="DF104" s="8">
        <f t="shared" si="433"/>
        <v>0.74291457286432161</v>
      </c>
      <c r="DG104" s="8">
        <f t="shared" si="433"/>
        <v>0.10878362294691746</v>
      </c>
      <c r="DH104" s="8">
        <f t="shared" si="433"/>
        <v>0.10664251207729469</v>
      </c>
      <c r="DI104" s="8">
        <f t="shared" si="433"/>
        <v>9.7961096789313418E-2</v>
      </c>
      <c r="DJ104" s="8">
        <f t="shared" ref="DJ104:DK106" si="434">AY104/AU104-1</f>
        <v>0.11290508591857917</v>
      </c>
      <c r="DK104" s="8">
        <f t="shared" si="434"/>
        <v>9.446114212108192E-2</v>
      </c>
      <c r="DL104" s="8"/>
    </row>
    <row r="105" spans="2:116">
      <c r="B105" s="2" t="s">
        <v>20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>
        <f>4070+6865</f>
        <v>10935</v>
      </c>
      <c r="O105" s="2">
        <f>4061+6161</f>
        <v>10222</v>
      </c>
      <c r="P105" s="2">
        <f>4284+6679</f>
        <v>10963</v>
      </c>
      <c r="Q105" s="2">
        <f>4491+6203</f>
        <v>10694</v>
      </c>
      <c r="R105" s="2">
        <f>4355+5922</f>
        <v>10277</v>
      </c>
      <c r="S105" s="2">
        <f>4511+7362</f>
        <v>11873</v>
      </c>
      <c r="T105" s="2">
        <f>4910+6990</f>
        <v>11900</v>
      </c>
      <c r="U105" s="2">
        <f>5251+7859</f>
        <v>13110</v>
      </c>
      <c r="V105" s="2">
        <f>5575+9485</f>
        <v>15060</v>
      </c>
      <c r="W105" s="2">
        <f>5313+8079</f>
        <v>13392</v>
      </c>
      <c r="X105" s="2">
        <f>5976+9912</f>
        <v>15888</v>
      </c>
      <c r="Y105" s="2">
        <f>5894+9823</f>
        <v>15717</v>
      </c>
      <c r="Z105" s="2">
        <f>4672+8853</f>
        <v>13525</v>
      </c>
      <c r="AA105" s="3">
        <f>4951+7557</f>
        <v>12508</v>
      </c>
      <c r="AB105" s="3">
        <f>2962+6029</f>
        <v>8991</v>
      </c>
      <c r="AC105" s="3">
        <f>4924+7868</f>
        <v>12792</v>
      </c>
      <c r="AD105" s="3">
        <f>4761+8650</f>
        <v>13411</v>
      </c>
      <c r="AE105" s="3">
        <f>4597+6983</f>
        <v>11580</v>
      </c>
      <c r="AF105" s="3">
        <f>6775+8013</f>
        <v>14788</v>
      </c>
      <c r="AG105" s="3">
        <f>5155+7090</f>
        <v>12245</v>
      </c>
      <c r="AH105" s="161">
        <f>2214+1108</f>
        <v>3322</v>
      </c>
      <c r="AI105" s="3">
        <f>2201+3163</f>
        <v>5364</v>
      </c>
      <c r="AJ105" s="3">
        <f>2657+2653</f>
        <v>5310</v>
      </c>
      <c r="AK105" s="3">
        <f>2875+1552</f>
        <v>4427</v>
      </c>
      <c r="AL105" s="3">
        <f>3122+2592</f>
        <v>5714</v>
      </c>
      <c r="AM105" s="3">
        <f>3500+1848</f>
        <v>5348</v>
      </c>
      <c r="AN105" s="3">
        <f>3946+2167</f>
        <v>6113</v>
      </c>
      <c r="AO105" s="3">
        <f>4004+2268</f>
        <v>6272</v>
      </c>
      <c r="AP105" s="3">
        <f>4087+13324-11300</f>
        <v>6111</v>
      </c>
      <c r="AQ105" s="3">
        <f>3522+3409</f>
        <v>6931</v>
      </c>
      <c r="AR105" s="3">
        <f>2975+2617</f>
        <v>5592</v>
      </c>
      <c r="AS105" s="3">
        <f>3144+3112</f>
        <v>6256</v>
      </c>
      <c r="AT105" s="3">
        <f>3365+2959</f>
        <v>6324</v>
      </c>
      <c r="AU105" s="3">
        <f>3521+2358</f>
        <v>5879</v>
      </c>
      <c r="AV105" s="3">
        <f>3588+2865</f>
        <v>6453</v>
      </c>
      <c r="AW105" s="3">
        <f>3101+2116</f>
        <v>5217</v>
      </c>
      <c r="AX105" s="3">
        <f>3985+2448</f>
        <v>6433</v>
      </c>
      <c r="AY105" s="2">
        <f>3103+3231</f>
        <v>6334</v>
      </c>
      <c r="AZ105" s="3">
        <f>3002+2768</f>
        <v>5770</v>
      </c>
      <c r="BA105" s="3">
        <f>3516+2430</f>
        <v>5946</v>
      </c>
      <c r="BB105" s="3">
        <f>3842+210322-201000-6600</f>
        <v>6564</v>
      </c>
      <c r="BC105" s="3"/>
      <c r="BD105" s="3"/>
      <c r="BE105" s="3"/>
      <c r="BF105" s="3"/>
      <c r="BG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8">
        <f t="shared" ref="CC105:CO106" si="435">R105/N105-1</f>
        <v>-6.0173754000914514E-2</v>
      </c>
      <c r="CD105" s="8">
        <f t="shared" si="435"/>
        <v>0.16151438074740754</v>
      </c>
      <c r="CE105" s="8">
        <f t="shared" si="435"/>
        <v>8.5469305846939791E-2</v>
      </c>
      <c r="CF105" s="8">
        <f t="shared" si="435"/>
        <v>0.22592107723957366</v>
      </c>
      <c r="CG105" s="8">
        <f t="shared" si="435"/>
        <v>0.46540819305244718</v>
      </c>
      <c r="CH105" s="8">
        <f t="shared" si="435"/>
        <v>0.12793733681462149</v>
      </c>
      <c r="CI105" s="8">
        <f t="shared" si="435"/>
        <v>0.33512605042016808</v>
      </c>
      <c r="CJ105" s="8">
        <f t="shared" si="435"/>
        <v>0.1988558352402745</v>
      </c>
      <c r="CK105" s="8">
        <f t="shared" si="435"/>
        <v>-0.10192563081009298</v>
      </c>
      <c r="CL105" s="8">
        <f t="shared" si="435"/>
        <v>-6.6009557945041819E-2</v>
      </c>
      <c r="CM105" s="8">
        <f t="shared" si="435"/>
        <v>-0.43410120845921452</v>
      </c>
      <c r="CN105" s="8">
        <f t="shared" si="435"/>
        <v>-0.18610421836228286</v>
      </c>
      <c r="CO105" s="8">
        <f t="shared" si="435"/>
        <v>-8.4288354898336415E-3</v>
      </c>
      <c r="CP105" s="8">
        <f t="shared" si="432"/>
        <v>-7.419251678925487E-2</v>
      </c>
      <c r="CQ105" s="8">
        <f t="shared" si="432"/>
        <v>0.64475586697808929</v>
      </c>
      <c r="CR105" s="8">
        <f t="shared" si="432"/>
        <v>-4.2761100687929932E-2</v>
      </c>
      <c r="CS105" s="8">
        <f t="shared" si="432"/>
        <v>-0.75229289389307286</v>
      </c>
      <c r="CT105" s="8">
        <f t="shared" si="432"/>
        <v>-0.53678756476683942</v>
      </c>
      <c r="CU105" s="8">
        <f t="shared" si="432"/>
        <v>-0.6409250743846362</v>
      </c>
      <c r="CV105" s="8">
        <f t="shared" si="432"/>
        <v>-0.63846467946100449</v>
      </c>
      <c r="CW105" s="8">
        <f t="shared" si="432"/>
        <v>0.72004816375677305</v>
      </c>
      <c r="CX105" s="8">
        <f t="shared" si="432"/>
        <v>-2.9828486204325211E-3</v>
      </c>
      <c r="CY105" s="8">
        <f t="shared" si="432"/>
        <v>0.15122410546139364</v>
      </c>
      <c r="CZ105" s="8">
        <f t="shared" si="433"/>
        <v>0.41676078608538503</v>
      </c>
      <c r="DA105" s="8">
        <f t="shared" si="433"/>
        <v>6.9478473923696216E-2</v>
      </c>
      <c r="DB105" s="8">
        <f t="shared" si="433"/>
        <v>0.29599850411368744</v>
      </c>
      <c r="DC105" s="8">
        <f t="shared" si="433"/>
        <v>-8.522820219204974E-2</v>
      </c>
      <c r="DD105" s="8">
        <f t="shared" si="433"/>
        <v>-2.5510204081632404E-3</v>
      </c>
      <c r="DE105" s="8">
        <f t="shared" si="433"/>
        <v>3.4855179185076191E-2</v>
      </c>
      <c r="DF105" s="8">
        <f t="shared" si="433"/>
        <v>-0.15178184966094355</v>
      </c>
      <c r="DG105" s="8">
        <f t="shared" si="433"/>
        <v>0.15396995708154515</v>
      </c>
      <c r="DH105" s="8">
        <f t="shared" si="433"/>
        <v>-0.1660805626598465</v>
      </c>
      <c r="DI105" s="8">
        <f t="shared" si="433"/>
        <v>1.7235926628716092E-2</v>
      </c>
      <c r="DJ105" s="8">
        <f t="shared" si="434"/>
        <v>7.7394114645347845E-2</v>
      </c>
      <c r="DK105" s="8">
        <f t="shared" si="434"/>
        <v>-0.1058422439175577</v>
      </c>
      <c r="DL105" s="8"/>
    </row>
    <row r="106" spans="2:116">
      <c r="B106" s="18" t="s">
        <v>22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>
        <f t="shared" ref="N106:Z106" si="436">N100+N101+N102+N103+N105</f>
        <v>53954</v>
      </c>
      <c r="O106" s="18">
        <f t="shared" si="436"/>
        <v>52030</v>
      </c>
      <c r="P106" s="18">
        <f t="shared" si="436"/>
        <v>52514</v>
      </c>
      <c r="Q106" s="18">
        <f t="shared" si="436"/>
        <v>53498</v>
      </c>
      <c r="R106" s="18">
        <f t="shared" si="436"/>
        <v>58167</v>
      </c>
      <c r="S106" s="18">
        <f t="shared" si="436"/>
        <v>56300</v>
      </c>
      <c r="T106" s="18">
        <f t="shared" si="436"/>
        <v>57405</v>
      </c>
      <c r="U106" s="18">
        <f t="shared" si="436"/>
        <v>58291</v>
      </c>
      <c r="V106" s="18">
        <f t="shared" si="436"/>
        <v>62630</v>
      </c>
      <c r="W106" s="18">
        <f t="shared" si="436"/>
        <v>59295</v>
      </c>
      <c r="X106" s="18">
        <f t="shared" si="436"/>
        <v>64535</v>
      </c>
      <c r="Y106" s="18">
        <f t="shared" si="436"/>
        <v>64406</v>
      </c>
      <c r="Z106" s="18">
        <f t="shared" si="436"/>
        <v>67143</v>
      </c>
      <c r="AA106" s="18">
        <f t="shared" ref="AA106:AV106" si="437">AA100+AA101+AA102+AA103+AA105+AA104</f>
        <v>64828</v>
      </c>
      <c r="AB106" s="18">
        <f t="shared" si="437"/>
        <v>62034</v>
      </c>
      <c r="AC106" s="18">
        <f t="shared" si="437"/>
        <v>67837</v>
      </c>
      <c r="AD106" s="18">
        <f t="shared" si="437"/>
        <v>77816</v>
      </c>
      <c r="AE106" s="18">
        <f t="shared" si="437"/>
        <v>75147</v>
      </c>
      <c r="AF106" s="18">
        <f t="shared" si="437"/>
        <v>77613</v>
      </c>
      <c r="AG106" s="18">
        <f t="shared" si="437"/>
        <v>75816</v>
      </c>
      <c r="AH106" s="18">
        <f t="shared" si="437"/>
        <v>69847</v>
      </c>
      <c r="AI106" s="18">
        <f t="shared" si="437"/>
        <v>70879</v>
      </c>
      <c r="AJ106" s="18">
        <f t="shared" si="437"/>
        <v>74322</v>
      </c>
      <c r="AK106" s="18">
        <f t="shared" si="437"/>
        <v>75520</v>
      </c>
      <c r="AL106" s="18">
        <f t="shared" si="437"/>
        <v>81851</v>
      </c>
      <c r="AM106" s="18">
        <f t="shared" si="437"/>
        <v>78711</v>
      </c>
      <c r="AN106" s="18">
        <f t="shared" si="437"/>
        <v>86686</v>
      </c>
      <c r="AO106" s="18">
        <f t="shared" si="437"/>
        <v>86597</v>
      </c>
      <c r="AP106" s="18">
        <f t="shared" si="437"/>
        <v>89867</v>
      </c>
      <c r="AQ106" s="18">
        <f t="shared" si="437"/>
        <v>87152</v>
      </c>
      <c r="AR106" s="18">
        <f t="shared" si="437"/>
        <v>87467</v>
      </c>
      <c r="AS106" s="18">
        <f t="shared" si="437"/>
        <v>91156</v>
      </c>
      <c r="AT106" s="18">
        <f t="shared" si="437"/>
        <v>91898</v>
      </c>
      <c r="AU106" s="18">
        <f t="shared" si="437"/>
        <v>88005</v>
      </c>
      <c r="AV106" s="18">
        <f t="shared" si="437"/>
        <v>90816</v>
      </c>
      <c r="AW106" s="18">
        <f t="shared" ref="AW106:BB106" si="438">AW100+AW101+AW102+AW103+AW105+AW104</f>
        <v>92601</v>
      </c>
      <c r="AX106" s="18">
        <f t="shared" si="438"/>
        <v>98182</v>
      </c>
      <c r="AY106" s="18">
        <f t="shared" si="438"/>
        <v>92376</v>
      </c>
      <c r="AZ106" s="18">
        <f t="shared" si="438"/>
        <v>97106</v>
      </c>
      <c r="BA106" s="18">
        <f t="shared" si="438"/>
        <v>95176</v>
      </c>
      <c r="BB106" s="18">
        <f t="shared" si="438"/>
        <v>98692</v>
      </c>
      <c r="BC106" s="3"/>
      <c r="BD106" s="3"/>
      <c r="BE106" s="3"/>
      <c r="BF106" s="3"/>
      <c r="BG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8"/>
      <c r="CA106" s="8"/>
      <c r="CB106" s="8"/>
      <c r="CC106" s="156">
        <f t="shared" si="435"/>
        <v>7.808503540052647E-2</v>
      </c>
      <c r="CD106" s="156">
        <f t="shared" si="435"/>
        <v>8.2068037670574689E-2</v>
      </c>
      <c r="CE106" s="156">
        <f t="shared" si="435"/>
        <v>9.3137068210382035E-2</v>
      </c>
      <c r="CF106" s="156">
        <f t="shared" si="435"/>
        <v>8.959213428539381E-2</v>
      </c>
      <c r="CG106" s="156">
        <f t="shared" si="435"/>
        <v>7.672735399797137E-2</v>
      </c>
      <c r="CH106" s="156">
        <f t="shared" si="435"/>
        <v>5.319715808170522E-2</v>
      </c>
      <c r="CI106" s="156">
        <f t="shared" si="435"/>
        <v>0.12420520860552209</v>
      </c>
      <c r="CJ106" s="156">
        <f t="shared" si="435"/>
        <v>0.10490470226964721</v>
      </c>
      <c r="CK106" s="156">
        <f t="shared" si="435"/>
        <v>7.2058119112246466E-2</v>
      </c>
      <c r="CL106" s="156">
        <f t="shared" si="435"/>
        <v>9.3313095539252933E-2</v>
      </c>
      <c r="CM106" s="156">
        <f t="shared" si="435"/>
        <v>-3.8754164406910929E-2</v>
      </c>
      <c r="CN106" s="156">
        <f t="shared" si="435"/>
        <v>5.3271434338415746E-2</v>
      </c>
      <c r="CO106" s="156">
        <f t="shared" si="435"/>
        <v>0.15895923625694408</v>
      </c>
      <c r="CP106" s="156">
        <f t="shared" si="432"/>
        <v>0.15917504781884362</v>
      </c>
      <c r="CQ106" s="156">
        <f t="shared" si="432"/>
        <v>0.25113647354676472</v>
      </c>
      <c r="CR106" s="156">
        <f t="shared" si="432"/>
        <v>0.11762017777908818</v>
      </c>
      <c r="CS106" s="156">
        <f t="shared" si="432"/>
        <v>-0.1024082450909839</v>
      </c>
      <c r="CT106" s="156">
        <f t="shared" si="432"/>
        <v>-5.6795347785008055E-2</v>
      </c>
      <c r="CU106" s="156">
        <f t="shared" si="432"/>
        <v>-4.2402690270959775E-2</v>
      </c>
      <c r="CV106" s="156">
        <f t="shared" si="432"/>
        <v>-3.9041890893742881E-3</v>
      </c>
      <c r="CW106" s="156">
        <f t="shared" si="432"/>
        <v>0.17186135410253844</v>
      </c>
      <c r="CX106" s="156">
        <f t="shared" si="432"/>
        <v>0.11049817294262043</v>
      </c>
      <c r="CY106" s="156">
        <f t="shared" si="432"/>
        <v>0.16635720244342189</v>
      </c>
      <c r="CZ106" s="156">
        <f t="shared" si="433"/>
        <v>0.14667637711864412</v>
      </c>
      <c r="DA106" s="156">
        <f t="shared" si="433"/>
        <v>9.793405089736229E-2</v>
      </c>
      <c r="DB106" s="156">
        <f t="shared" si="433"/>
        <v>0.10724041112423932</v>
      </c>
      <c r="DC106" s="156">
        <f t="shared" si="433"/>
        <v>9.0095286436102651E-3</v>
      </c>
      <c r="DD106" s="156">
        <f t="shared" si="433"/>
        <v>5.2646165571555548E-2</v>
      </c>
      <c r="DE106" s="156">
        <f t="shared" si="433"/>
        <v>2.2600064539819886E-2</v>
      </c>
      <c r="DF106" s="156">
        <f t="shared" si="433"/>
        <v>9.7874977051588541E-3</v>
      </c>
      <c r="DG106" s="156">
        <f t="shared" si="433"/>
        <v>3.8288726033818499E-2</v>
      </c>
      <c r="DH106" s="156">
        <f t="shared" si="433"/>
        <v>1.5851946114353366E-2</v>
      </c>
      <c r="DI106" s="156">
        <f t="shared" si="433"/>
        <v>6.8380160612853347E-2</v>
      </c>
      <c r="DJ106" s="156">
        <f t="shared" si="434"/>
        <v>4.9667632520879579E-2</v>
      </c>
      <c r="DK106" s="156">
        <f t="shared" si="434"/>
        <v>6.9260923185341827E-2</v>
      </c>
      <c r="DL106" s="8"/>
    </row>
    <row r="107" spans="2:116">
      <c r="B107" s="3" t="s">
        <v>17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>
        <f t="shared" ref="N107:V107" si="439">N108-N106</f>
        <v>16406</v>
      </c>
      <c r="O107" s="3">
        <f t="shared" si="439"/>
        <v>18782</v>
      </c>
      <c r="P107" s="3">
        <f t="shared" si="439"/>
        <v>18773</v>
      </c>
      <c r="Q107" s="3">
        <f t="shared" si="439"/>
        <v>17765</v>
      </c>
      <c r="R107" s="3">
        <f t="shared" si="439"/>
        <v>17455</v>
      </c>
      <c r="S107" s="3">
        <f t="shared" si="439"/>
        <v>19271</v>
      </c>
      <c r="T107" s="3">
        <f t="shared" si="439"/>
        <v>20501</v>
      </c>
      <c r="U107" s="3">
        <f t="shared" si="439"/>
        <v>20759</v>
      </c>
      <c r="V107" s="3">
        <f t="shared" si="439"/>
        <v>21667</v>
      </c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3"/>
      <c r="CA107" s="3"/>
      <c r="CB107" s="3"/>
      <c r="CC107" s="3"/>
      <c r="CD107" s="3"/>
      <c r="CE107" s="3"/>
      <c r="CF107" s="3"/>
      <c r="CG107" s="3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</row>
    <row r="108" spans="2:116">
      <c r="B108" s="3" t="s">
        <v>21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>
        <v>70360</v>
      </c>
      <c r="O108" s="3">
        <v>70812</v>
      </c>
      <c r="P108" s="3">
        <v>71287</v>
      </c>
      <c r="Q108" s="3">
        <v>71263</v>
      </c>
      <c r="R108" s="3">
        <v>75622</v>
      </c>
      <c r="S108" s="3">
        <v>75571</v>
      </c>
      <c r="T108" s="3">
        <v>77906</v>
      </c>
      <c r="U108" s="3">
        <v>79050</v>
      </c>
      <c r="V108" s="3">
        <v>84297</v>
      </c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3"/>
      <c r="CA108" s="3"/>
      <c r="CB108" s="3"/>
      <c r="CC108" s="8">
        <f t="shared" ref="CC108:CL109" si="440">R108/N108-1</f>
        <v>7.4786810687890837E-2</v>
      </c>
      <c r="CD108" s="8">
        <f t="shared" si="440"/>
        <v>6.7206123255945327E-2</v>
      </c>
      <c r="CE108" s="8">
        <f t="shared" si="440"/>
        <v>9.2850028756996439E-2</v>
      </c>
      <c r="CF108" s="8">
        <f t="shared" si="440"/>
        <v>0.10927129085219534</v>
      </c>
      <c r="CG108" s="8">
        <f t="shared" si="440"/>
        <v>0.11471529449102102</v>
      </c>
      <c r="CH108" s="8">
        <f t="shared" si="440"/>
        <v>-1</v>
      </c>
      <c r="CI108" s="8">
        <f t="shared" si="440"/>
        <v>-1</v>
      </c>
      <c r="CJ108" s="8">
        <f t="shared" si="440"/>
        <v>-1</v>
      </c>
      <c r="CK108" s="8">
        <f t="shared" si="440"/>
        <v>-1</v>
      </c>
      <c r="CL108" s="8" t="e">
        <f t="shared" si="440"/>
        <v>#DIV/0!</v>
      </c>
      <c r="CM108" s="8" t="e">
        <f t="shared" ref="CM108:CS109" si="441">AB108/X108-1</f>
        <v>#DIV/0!</v>
      </c>
      <c r="CN108" s="8" t="e">
        <f t="shared" si="441"/>
        <v>#DIV/0!</v>
      </c>
      <c r="CO108" s="8" t="e">
        <f t="shared" si="441"/>
        <v>#DIV/0!</v>
      </c>
      <c r="CP108" s="8" t="e">
        <f t="shared" si="441"/>
        <v>#DIV/0!</v>
      </c>
      <c r="CQ108" s="8" t="e">
        <f t="shared" si="441"/>
        <v>#DIV/0!</v>
      </c>
      <c r="CR108" s="8" t="e">
        <f t="shared" si="441"/>
        <v>#DIV/0!</v>
      </c>
      <c r="CS108" s="8" t="e">
        <f t="shared" si="441"/>
        <v>#DIV/0!</v>
      </c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</row>
    <row r="109" spans="2:116">
      <c r="B109" s="18" t="s">
        <v>33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>
        <v>24213</v>
      </c>
      <c r="O109" s="18">
        <v>25826</v>
      </c>
      <c r="P109" s="18">
        <v>28913</v>
      </c>
      <c r="Q109" s="18">
        <v>27783</v>
      </c>
      <c r="R109" s="18">
        <v>26358</v>
      </c>
      <c r="S109" s="18">
        <v>27978</v>
      </c>
      <c r="T109" s="18">
        <v>29047</v>
      </c>
      <c r="U109" s="18">
        <v>27791</v>
      </c>
      <c r="V109" s="18">
        <v>29485</v>
      </c>
      <c r="W109" s="19">
        <f t="shared" ref="W109:BB109" si="442">W141</f>
        <v>28345</v>
      </c>
      <c r="X109" s="19">
        <f t="shared" si="442"/>
        <v>30420</v>
      </c>
      <c r="Y109" s="19">
        <f t="shared" si="442"/>
        <v>31186</v>
      </c>
      <c r="Z109" s="19">
        <f t="shared" si="442"/>
        <v>27265</v>
      </c>
      <c r="AA109" s="19">
        <f t="shared" si="442"/>
        <v>29006</v>
      </c>
      <c r="AB109" s="19">
        <f t="shared" si="442"/>
        <v>34641</v>
      </c>
      <c r="AC109" s="19">
        <f t="shared" si="442"/>
        <v>27487</v>
      </c>
      <c r="AD109" s="19">
        <f t="shared" si="442"/>
        <v>33685</v>
      </c>
      <c r="AE109" s="19">
        <f t="shared" si="442"/>
        <v>9290</v>
      </c>
      <c r="AF109" s="19">
        <f t="shared" si="442"/>
        <v>13148</v>
      </c>
      <c r="AG109" s="19">
        <f t="shared" si="442"/>
        <v>13121</v>
      </c>
      <c r="AH109" s="19">
        <f t="shared" si="442"/>
        <v>8485</v>
      </c>
      <c r="AI109" s="19">
        <f t="shared" si="442"/>
        <v>12430</v>
      </c>
      <c r="AJ109" s="19">
        <f t="shared" si="442"/>
        <v>13878</v>
      </c>
      <c r="AK109" s="19">
        <f t="shared" si="442"/>
        <v>17863</v>
      </c>
      <c r="AL109" s="19">
        <f t="shared" si="442"/>
        <v>21755</v>
      </c>
      <c r="AM109" s="19">
        <f t="shared" si="442"/>
        <v>18479</v>
      </c>
      <c r="AN109" s="19">
        <f t="shared" si="442"/>
        <v>21194</v>
      </c>
      <c r="AO109" s="19">
        <f t="shared" si="442"/>
        <v>22369</v>
      </c>
      <c r="AP109" s="19">
        <f t="shared" si="442"/>
        <v>23842</v>
      </c>
      <c r="AQ109" s="19">
        <f t="shared" si="442"/>
        <v>19834</v>
      </c>
      <c r="AR109" s="19">
        <f t="shared" si="442"/>
        <v>21202</v>
      </c>
      <c r="AS109" s="19">
        <f t="shared" si="442"/>
        <v>24548</v>
      </c>
      <c r="AT109" s="19">
        <f t="shared" si="442"/>
        <v>25409</v>
      </c>
      <c r="AU109" s="19">
        <f t="shared" si="442"/>
        <v>21300</v>
      </c>
      <c r="AV109" s="19">
        <f t="shared" si="442"/>
        <v>20163</v>
      </c>
      <c r="AW109" s="19">
        <f t="shared" si="442"/>
        <v>26675</v>
      </c>
      <c r="AX109" s="19">
        <f t="shared" si="442"/>
        <v>29611</v>
      </c>
      <c r="AY109" s="19">
        <f t="shared" si="442"/>
        <v>32000</v>
      </c>
      <c r="AZ109" s="19">
        <f t="shared" si="442"/>
        <v>30000</v>
      </c>
      <c r="BA109" s="19">
        <f t="shared" si="442"/>
        <v>30000</v>
      </c>
      <c r="BB109" s="19">
        <f t="shared" si="442"/>
        <v>31104</v>
      </c>
      <c r="BC109" s="7"/>
      <c r="BD109" s="7"/>
      <c r="BE109" s="7"/>
      <c r="BF109" s="7"/>
      <c r="BG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8"/>
      <c r="CA109" s="8"/>
      <c r="CB109" s="8"/>
      <c r="CC109" s="8">
        <f t="shared" si="440"/>
        <v>8.8588774625201427E-2</v>
      </c>
      <c r="CD109" s="8">
        <f t="shared" si="440"/>
        <v>8.3326879888484529E-2</v>
      </c>
      <c r="CE109" s="8">
        <f t="shared" si="440"/>
        <v>4.6345934354787843E-3</v>
      </c>
      <c r="CF109" s="8">
        <f t="shared" si="440"/>
        <v>2.8794586617708617E-4</v>
      </c>
      <c r="CG109" s="8">
        <f t="shared" si="440"/>
        <v>0.11863570832384851</v>
      </c>
      <c r="CH109" s="8">
        <f t="shared" si="440"/>
        <v>1.3117449424547845E-2</v>
      </c>
      <c r="CI109" s="8">
        <f t="shared" si="440"/>
        <v>4.7268220470272349E-2</v>
      </c>
      <c r="CJ109" s="8">
        <f t="shared" si="440"/>
        <v>0.1221618509589435</v>
      </c>
      <c r="CK109" s="8">
        <f t="shared" si="440"/>
        <v>-7.5292521621163289E-2</v>
      </c>
      <c r="CL109" s="8">
        <f t="shared" si="440"/>
        <v>2.3319809490209842E-2</v>
      </c>
      <c r="CM109" s="8">
        <f t="shared" si="441"/>
        <v>0.1387573964497042</v>
      </c>
      <c r="CN109" s="8">
        <f t="shared" si="441"/>
        <v>-0.11861091515423583</v>
      </c>
      <c r="CO109" s="8">
        <f t="shared" si="441"/>
        <v>0.23546671556941123</v>
      </c>
      <c r="CP109" s="8">
        <f t="shared" si="441"/>
        <v>-0.67972143694408049</v>
      </c>
      <c r="CQ109" s="8">
        <f t="shared" si="441"/>
        <v>-0.62044975606939756</v>
      </c>
      <c r="CR109" s="8">
        <f t="shared" si="441"/>
        <v>-0.52264706952377482</v>
      </c>
      <c r="CS109" s="8">
        <f t="shared" si="441"/>
        <v>-0.74810746623126023</v>
      </c>
      <c r="CT109" s="8">
        <f t="shared" ref="CT109:DK109" si="443">AI109/AE109-1</f>
        <v>0.3379978471474705</v>
      </c>
      <c r="CU109" s="8">
        <f t="shared" si="443"/>
        <v>5.5521752357773124E-2</v>
      </c>
      <c r="CV109" s="8">
        <f t="shared" si="443"/>
        <v>0.36140538068744754</v>
      </c>
      <c r="CW109" s="8">
        <f t="shared" si="443"/>
        <v>1.5639363582793164</v>
      </c>
      <c r="CX109" s="8">
        <f t="shared" si="443"/>
        <v>0.48664521319388565</v>
      </c>
      <c r="CY109" s="8">
        <f t="shared" si="443"/>
        <v>0.52716529759331321</v>
      </c>
      <c r="CZ109" s="8">
        <f t="shared" si="443"/>
        <v>0.25225326093041489</v>
      </c>
      <c r="DA109" s="8">
        <f t="shared" si="443"/>
        <v>9.5931969662146566E-2</v>
      </c>
      <c r="DB109" s="8">
        <f t="shared" si="443"/>
        <v>7.3326478705557641E-2</v>
      </c>
      <c r="DC109" s="8">
        <f t="shared" si="443"/>
        <v>3.7746532037363778E-4</v>
      </c>
      <c r="DD109" s="8">
        <f t="shared" si="443"/>
        <v>9.7411596405740042E-2</v>
      </c>
      <c r="DE109" s="8">
        <f t="shared" si="443"/>
        <v>6.5724351983893925E-2</v>
      </c>
      <c r="DF109" s="8">
        <f t="shared" si="443"/>
        <v>7.3913481899767985E-2</v>
      </c>
      <c r="DG109" s="8">
        <f t="shared" si="443"/>
        <v>-4.900481086689934E-2</v>
      </c>
      <c r="DH109" s="8">
        <f t="shared" si="443"/>
        <v>8.6646569985334931E-2</v>
      </c>
      <c r="DI109" s="8">
        <f t="shared" si="443"/>
        <v>0.16537447361171242</v>
      </c>
      <c r="DJ109" s="8">
        <f t="shared" si="443"/>
        <v>0.50234741784037551</v>
      </c>
      <c r="DK109" s="8">
        <f t="shared" si="443"/>
        <v>0.48787382829936021</v>
      </c>
      <c r="DL109" s="8"/>
    </row>
    <row r="110" spans="2:116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  <c r="AJ110" s="242"/>
      <c r="AK110" s="242"/>
      <c r="AL110" s="242"/>
      <c r="AM110" s="242"/>
      <c r="AN110" s="242"/>
      <c r="AO110" s="242"/>
      <c r="AP110" s="242"/>
      <c r="AQ110" s="242"/>
      <c r="AR110" s="242"/>
      <c r="AS110" s="242"/>
      <c r="AT110" s="242"/>
      <c r="AU110" s="242"/>
      <c r="AV110" s="242"/>
      <c r="AW110" s="242"/>
      <c r="AX110" s="242"/>
      <c r="AY110" s="242"/>
      <c r="AZ110" s="242"/>
      <c r="BA110" s="242"/>
      <c r="BB110" s="242"/>
      <c r="BC110" s="242"/>
      <c r="BD110" s="242"/>
      <c r="BE110" s="242"/>
      <c r="BF110" s="242"/>
      <c r="BG110" s="242"/>
      <c r="BL110" s="242"/>
      <c r="BM110" s="242"/>
      <c r="BN110" s="242"/>
      <c r="BO110" s="242"/>
      <c r="BP110" s="242"/>
      <c r="BQ110" s="242"/>
      <c r="BR110" s="242"/>
      <c r="BS110" s="242"/>
      <c r="BT110" s="242"/>
      <c r="BU110" s="242"/>
      <c r="BV110" s="242"/>
      <c r="BW110" s="242"/>
      <c r="BX110" s="242"/>
      <c r="BY110" s="242"/>
      <c r="BZ110" s="3"/>
      <c r="CA110" s="3"/>
      <c r="CB110" s="3"/>
      <c r="CC110" s="3"/>
      <c r="CD110" s="3"/>
      <c r="CE110" s="3"/>
      <c r="CF110" s="3"/>
      <c r="CG110" s="3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</row>
    <row r="111" spans="2:116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</row>
    <row r="112" spans="2:116">
      <c r="B112" s="3" t="s">
        <v>367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>
        <v>2211</v>
      </c>
      <c r="O112" s="3">
        <f>7560-P112-Q112-R112</f>
        <v>1895</v>
      </c>
      <c r="P112" s="3">
        <v>1716</v>
      </c>
      <c r="Q112" s="3">
        <v>1898</v>
      </c>
      <c r="R112" s="3">
        <v>2051</v>
      </c>
      <c r="S112" s="3">
        <f>7392-T112-U112</f>
        <v>2334</v>
      </c>
      <c r="T112" s="3">
        <v>2317</v>
      </c>
      <c r="U112" s="3">
        <v>2741</v>
      </c>
      <c r="V112" s="3">
        <v>2927</v>
      </c>
      <c r="W112" s="7">
        <v>2717</v>
      </c>
      <c r="X112" s="7">
        <v>3055</v>
      </c>
      <c r="Y112" s="7">
        <v>2553</v>
      </c>
      <c r="Z112" s="7">
        <v>3054</v>
      </c>
      <c r="AA112" s="7">
        <v>3288</v>
      </c>
      <c r="AB112" s="7">
        <v>2962</v>
      </c>
      <c r="AC112" s="7">
        <v>3144</v>
      </c>
      <c r="AD112" s="7">
        <v>2773</v>
      </c>
      <c r="AE112" s="7">
        <f>2653</f>
        <v>2653</v>
      </c>
      <c r="AF112" s="7">
        <v>1079</v>
      </c>
      <c r="AG112" s="7">
        <v>2054</v>
      </c>
      <c r="AH112" s="7">
        <v>2214</v>
      </c>
      <c r="AI112" s="7">
        <v>2201</v>
      </c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3"/>
      <c r="CA112" s="3"/>
      <c r="CB112" s="3"/>
      <c r="CC112" s="8">
        <f t="shared" ref="CC112:CL113" si="444">R112/N112-1</f>
        <v>-7.2365445499773862E-2</v>
      </c>
      <c r="CD112" s="8">
        <f t="shared" si="444"/>
        <v>0.23166226912928756</v>
      </c>
      <c r="CE112" s="8">
        <f t="shared" si="444"/>
        <v>0.35023310023310028</v>
      </c>
      <c r="CF112" s="8">
        <f t="shared" si="444"/>
        <v>0.44415173867228663</v>
      </c>
      <c r="CG112" s="8">
        <f t="shared" si="444"/>
        <v>0.42710872745002448</v>
      </c>
      <c r="CH112" s="8">
        <f t="shared" si="444"/>
        <v>0.16409597257926301</v>
      </c>
      <c r="CI112" s="8">
        <f t="shared" si="444"/>
        <v>0.31851532153646955</v>
      </c>
      <c r="CJ112" s="8">
        <f t="shared" si="444"/>
        <v>-6.8588106530463322E-2</v>
      </c>
      <c r="CK112" s="8">
        <f t="shared" si="444"/>
        <v>4.3389135633754794E-2</v>
      </c>
      <c r="CL112" s="8">
        <f t="shared" si="444"/>
        <v>0.21015826278984173</v>
      </c>
      <c r="CM112" s="8">
        <f t="shared" ref="CM112:CT113" si="445">AB112/X112-1</f>
        <v>-3.0441898527004962E-2</v>
      </c>
      <c r="CN112" s="8">
        <f t="shared" si="445"/>
        <v>0.23149236192714451</v>
      </c>
      <c r="CO112" s="8">
        <f t="shared" si="445"/>
        <v>-9.2010478061558598E-2</v>
      </c>
      <c r="CP112" s="8">
        <f t="shared" si="445"/>
        <v>-0.19312652068126523</v>
      </c>
      <c r="CQ112" s="8">
        <f t="shared" si="445"/>
        <v>-0.63571910871033088</v>
      </c>
      <c r="CR112" s="8">
        <f t="shared" si="445"/>
        <v>-0.34669211195928751</v>
      </c>
      <c r="CS112" s="8">
        <f t="shared" si="445"/>
        <v>-0.20158672917417964</v>
      </c>
      <c r="CT112" s="8">
        <f t="shared" si="445"/>
        <v>-0.17037316245759515</v>
      </c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</row>
    <row r="113" spans="2:116">
      <c r="B113" s="3" t="s">
        <v>366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>
        <v>887</v>
      </c>
      <c r="O113" s="3">
        <v>4226</v>
      </c>
      <c r="P113" s="3">
        <v>1366</v>
      </c>
      <c r="Q113" s="3">
        <v>965</v>
      </c>
      <c r="R113" s="3">
        <v>158</v>
      </c>
      <c r="S113" s="3">
        <v>2080</v>
      </c>
      <c r="T113" s="3">
        <v>1998</v>
      </c>
      <c r="U113" s="3">
        <v>1428</v>
      </c>
      <c r="V113" s="3">
        <v>4608</v>
      </c>
      <c r="W113" s="7">
        <v>1474</v>
      </c>
      <c r="X113" s="7">
        <v>3680</v>
      </c>
      <c r="Y113" s="7">
        <v>3326</v>
      </c>
      <c r="Z113" s="7">
        <v>2383</v>
      </c>
      <c r="AA113" s="7">
        <v>2450</v>
      </c>
      <c r="AB113" s="7">
        <v>6029</v>
      </c>
      <c r="AC113" s="7">
        <v>3214</v>
      </c>
      <c r="AD113" s="7">
        <v>3861</v>
      </c>
      <c r="AE113" s="99">
        <f>9667-4000</f>
        <v>5667</v>
      </c>
      <c r="AF113" s="3">
        <v>5339</v>
      </c>
      <c r="AG113" s="3">
        <v>5396</v>
      </c>
      <c r="AH113" s="3">
        <v>4383</v>
      </c>
      <c r="AI113" s="3">
        <v>3163</v>
      </c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8">
        <f t="shared" si="444"/>
        <v>-0.8218714768883878</v>
      </c>
      <c r="CD113" s="8">
        <f t="shared" si="444"/>
        <v>-0.50780880265026029</v>
      </c>
      <c r="CE113" s="8">
        <f t="shared" si="444"/>
        <v>0.46266471449487545</v>
      </c>
      <c r="CF113" s="8">
        <f t="shared" si="444"/>
        <v>0.4797927461139897</v>
      </c>
      <c r="CG113" s="8">
        <f t="shared" si="444"/>
        <v>28.164556962025316</v>
      </c>
      <c r="CH113" s="8">
        <f t="shared" si="444"/>
        <v>-0.29134615384615381</v>
      </c>
      <c r="CI113" s="8">
        <f t="shared" si="444"/>
        <v>0.84184184184184185</v>
      </c>
      <c r="CJ113" s="8">
        <f t="shared" si="444"/>
        <v>1.3291316526610646</v>
      </c>
      <c r="CK113" s="8">
        <f t="shared" si="444"/>
        <v>-0.48285590277777779</v>
      </c>
      <c r="CL113" s="8">
        <f t="shared" si="444"/>
        <v>0.6621438263229309</v>
      </c>
      <c r="CM113" s="8">
        <f t="shared" si="445"/>
        <v>0.63831521739130426</v>
      </c>
      <c r="CN113" s="8">
        <f t="shared" si="445"/>
        <v>-3.3674082982561582E-2</v>
      </c>
      <c r="CO113" s="8">
        <f t="shared" si="445"/>
        <v>0.62022660511959704</v>
      </c>
      <c r="CP113" s="8">
        <f t="shared" si="445"/>
        <v>1.3130612244897959</v>
      </c>
      <c r="CQ113" s="8">
        <f t="shared" si="445"/>
        <v>-0.11444684027201857</v>
      </c>
      <c r="CR113" s="8">
        <f t="shared" si="445"/>
        <v>0.67890479153702543</v>
      </c>
      <c r="CS113" s="8">
        <f t="shared" si="445"/>
        <v>0.13519813519813528</v>
      </c>
      <c r="CT113" s="8">
        <f t="shared" si="445"/>
        <v>-0.44185636139050644</v>
      </c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</row>
    <row r="114" spans="2:116">
      <c r="B114" s="9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3"/>
      <c r="CA114" s="3"/>
      <c r="CB114" s="3"/>
      <c r="CC114" s="3"/>
      <c r="CD114" s="3"/>
      <c r="CE114" s="3"/>
      <c r="CF114" s="3"/>
      <c r="CG114" s="3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</row>
    <row r="115" spans="2:116" hidden="1" outlineLevel="1">
      <c r="B115" s="272" t="s">
        <v>724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</row>
    <row r="116" spans="2:116" hidden="1" outlineLevel="1">
      <c r="B116" s="3" t="str">
        <f>B123</f>
        <v>Chile mobile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7">
        <f t="shared" ref="N116:V116" si="446">N81</f>
        <v>198544</v>
      </c>
      <c r="O116" s="7">
        <f t="shared" si="446"/>
        <v>195215</v>
      </c>
      <c r="P116" s="7">
        <f t="shared" si="446"/>
        <v>210232</v>
      </c>
      <c r="Q116" s="7">
        <f t="shared" si="446"/>
        <v>209229</v>
      </c>
      <c r="R116" s="7">
        <f t="shared" si="446"/>
        <v>240246</v>
      </c>
      <c r="S116" s="7">
        <f t="shared" si="446"/>
        <v>233623</v>
      </c>
      <c r="T116" s="7">
        <f t="shared" si="446"/>
        <v>240353</v>
      </c>
      <c r="U116" s="7">
        <f t="shared" si="446"/>
        <v>244131</v>
      </c>
      <c r="V116" s="7">
        <f t="shared" si="446"/>
        <v>270729</v>
      </c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3"/>
      <c r="CA116" s="3"/>
      <c r="CB116" s="3"/>
      <c r="CC116" s="3"/>
      <c r="CD116" s="3"/>
      <c r="CE116" s="3"/>
      <c r="CF116" s="3"/>
      <c r="CG116" s="3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</row>
    <row r="117" spans="2:116" hidden="1" outlineLevel="1">
      <c r="B117" s="3" t="str">
        <f>B124</f>
        <v>Chile fixed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>
        <f t="shared" ref="N117:V117" si="447">N108</f>
        <v>70360</v>
      </c>
      <c r="O117" s="3">
        <f t="shared" si="447"/>
        <v>70812</v>
      </c>
      <c r="P117" s="3">
        <f t="shared" si="447"/>
        <v>71287</v>
      </c>
      <c r="Q117" s="3">
        <f t="shared" si="447"/>
        <v>71263</v>
      </c>
      <c r="R117" s="3">
        <f t="shared" si="447"/>
        <v>75622</v>
      </c>
      <c r="S117" s="3">
        <f t="shared" si="447"/>
        <v>75571</v>
      </c>
      <c r="T117" s="3">
        <f t="shared" si="447"/>
        <v>77906</v>
      </c>
      <c r="U117" s="3">
        <f t="shared" si="447"/>
        <v>79050</v>
      </c>
      <c r="V117" s="3">
        <f t="shared" si="447"/>
        <v>84297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</row>
    <row r="118" spans="2:116" hidden="1" outlineLevel="1">
      <c r="B118" s="3" t="str">
        <f>B125</f>
        <v>Peru fixed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7">
        <f t="shared" ref="N118:U118" si="448">N92</f>
        <v>4991</v>
      </c>
      <c r="O118" s="7">
        <f t="shared" si="448"/>
        <v>5003</v>
      </c>
      <c r="P118" s="7">
        <f t="shared" si="448"/>
        <v>4994</v>
      </c>
      <c r="Q118" s="7">
        <f t="shared" si="448"/>
        <v>4889</v>
      </c>
      <c r="R118" s="7">
        <f t="shared" si="448"/>
        <v>5285</v>
      </c>
      <c r="S118" s="7">
        <f t="shared" si="448"/>
        <v>4877</v>
      </c>
      <c r="T118" s="7">
        <f t="shared" si="448"/>
        <v>4857</v>
      </c>
      <c r="U118" s="7">
        <f t="shared" si="448"/>
        <v>5017</v>
      </c>
      <c r="V118" s="7">
        <v>5005</v>
      </c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3"/>
      <c r="CA118" s="3"/>
      <c r="CB118" s="3"/>
      <c r="CC118" s="3"/>
      <c r="CD118" s="3"/>
      <c r="CE118" s="3"/>
      <c r="CF118" s="3"/>
      <c r="CG118" s="3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</row>
    <row r="119" spans="2:116" hidden="1" outlineLevel="1">
      <c r="B119" s="2" t="s">
        <v>32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9">
        <f t="shared" ref="N119:T119" si="449">N120-N116-N117-N118</f>
        <v>-15640</v>
      </c>
      <c r="O119" s="9">
        <f t="shared" si="449"/>
        <v>-16019</v>
      </c>
      <c r="P119" s="9">
        <f t="shared" si="449"/>
        <v>-19660</v>
      </c>
      <c r="Q119" s="9">
        <f t="shared" si="449"/>
        <v>-18428</v>
      </c>
      <c r="R119" s="9">
        <f t="shared" si="449"/>
        <v>-20020</v>
      </c>
      <c r="S119" s="9">
        <f t="shared" si="449"/>
        <v>-19952</v>
      </c>
      <c r="T119" s="9">
        <f t="shared" si="449"/>
        <v>-21459</v>
      </c>
      <c r="U119" s="9">
        <f>U120-U116-U117-U118</f>
        <v>-21068</v>
      </c>
      <c r="V119" s="9">
        <f>V120-V116-V117-V118</f>
        <v>-22022</v>
      </c>
      <c r="W119" s="9"/>
      <c r="X119" s="9"/>
      <c r="Y119" s="9"/>
      <c r="Z119" s="9"/>
      <c r="AA119" s="9"/>
      <c r="AB119" s="9"/>
      <c r="AC119" s="9"/>
      <c r="AD119" s="9"/>
      <c r="AE119" s="9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3"/>
      <c r="CA119" s="3"/>
      <c r="CB119" s="3"/>
      <c r="CC119" s="3"/>
      <c r="CD119" s="3"/>
      <c r="CE119" s="3"/>
      <c r="CF119" s="3"/>
      <c r="CG119" s="3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</row>
    <row r="120" spans="2:116" hidden="1" outlineLevel="1">
      <c r="B120" s="3" t="s">
        <v>31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7">
        <f t="shared" ref="N120:Z120" si="450">N128</f>
        <v>258255</v>
      </c>
      <c r="O120" s="7">
        <f t="shared" si="450"/>
        <v>255011</v>
      </c>
      <c r="P120" s="7">
        <f t="shared" si="450"/>
        <v>266853</v>
      </c>
      <c r="Q120" s="7">
        <f t="shared" si="450"/>
        <v>266953</v>
      </c>
      <c r="R120" s="7">
        <f t="shared" si="450"/>
        <v>301133</v>
      </c>
      <c r="S120" s="7">
        <f t="shared" si="450"/>
        <v>294119</v>
      </c>
      <c r="T120" s="7">
        <f t="shared" si="450"/>
        <v>301657</v>
      </c>
      <c r="U120" s="7">
        <f t="shared" si="450"/>
        <v>307130</v>
      </c>
      <c r="V120" s="7">
        <f t="shared" si="450"/>
        <v>338009</v>
      </c>
      <c r="W120" s="7">
        <f t="shared" si="450"/>
        <v>340231</v>
      </c>
      <c r="X120" s="7">
        <f t="shared" si="450"/>
        <v>351650</v>
      </c>
      <c r="Y120" s="7">
        <f t="shared" si="450"/>
        <v>353290</v>
      </c>
      <c r="Z120" s="7">
        <f t="shared" si="450"/>
        <v>378202</v>
      </c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8"/>
      <c r="CA120" s="8"/>
      <c r="CB120" s="8"/>
      <c r="CC120" s="8">
        <f t="shared" ref="CC120:DK120" si="451">R120/N120-1</f>
        <v>0.16602969932818334</v>
      </c>
      <c r="CD120" s="8">
        <f t="shared" si="451"/>
        <v>0.15335809043531445</v>
      </c>
      <c r="CE120" s="8">
        <f t="shared" si="451"/>
        <v>0.13042386632340652</v>
      </c>
      <c r="CF120" s="8">
        <f t="shared" si="451"/>
        <v>0.15050214831824338</v>
      </c>
      <c r="CG120" s="8">
        <f t="shared" si="451"/>
        <v>0.12245751877077571</v>
      </c>
      <c r="CH120" s="8">
        <f t="shared" si="451"/>
        <v>0.15678007881163736</v>
      </c>
      <c r="CI120" s="8">
        <f t="shared" si="451"/>
        <v>0.1657279625534962</v>
      </c>
      <c r="CJ120" s="8">
        <f t="shared" si="451"/>
        <v>0.15029466349754173</v>
      </c>
      <c r="CK120" s="8">
        <f t="shared" si="451"/>
        <v>0.1189110349132716</v>
      </c>
      <c r="CL120" s="8">
        <f t="shared" si="451"/>
        <v>-1</v>
      </c>
      <c r="CM120" s="8">
        <f t="shared" si="451"/>
        <v>-1</v>
      </c>
      <c r="CN120" s="8">
        <f t="shared" si="451"/>
        <v>-1</v>
      </c>
      <c r="CO120" s="8">
        <f t="shared" si="451"/>
        <v>-1</v>
      </c>
      <c r="CP120" s="8" t="e">
        <f t="shared" si="451"/>
        <v>#DIV/0!</v>
      </c>
      <c r="CQ120" s="8" t="e">
        <f t="shared" si="451"/>
        <v>#DIV/0!</v>
      </c>
      <c r="CR120" s="8" t="e">
        <f t="shared" si="451"/>
        <v>#DIV/0!</v>
      </c>
      <c r="CS120" s="8" t="e">
        <f t="shared" si="451"/>
        <v>#DIV/0!</v>
      </c>
      <c r="CT120" s="8" t="e">
        <f t="shared" si="451"/>
        <v>#DIV/0!</v>
      </c>
      <c r="CU120" s="8" t="e">
        <f t="shared" si="451"/>
        <v>#DIV/0!</v>
      </c>
      <c r="CV120" s="8" t="e">
        <f t="shared" si="451"/>
        <v>#DIV/0!</v>
      </c>
      <c r="CW120" s="8" t="e">
        <f t="shared" si="451"/>
        <v>#DIV/0!</v>
      </c>
      <c r="CX120" s="8" t="e">
        <f t="shared" si="451"/>
        <v>#DIV/0!</v>
      </c>
      <c r="CY120" s="8" t="e">
        <f t="shared" si="451"/>
        <v>#DIV/0!</v>
      </c>
      <c r="CZ120" s="8" t="e">
        <f t="shared" si="451"/>
        <v>#DIV/0!</v>
      </c>
      <c r="DA120" s="8" t="e">
        <f t="shared" si="451"/>
        <v>#DIV/0!</v>
      </c>
      <c r="DB120" s="8" t="e">
        <f t="shared" si="451"/>
        <v>#DIV/0!</v>
      </c>
      <c r="DC120" s="8" t="e">
        <f t="shared" si="451"/>
        <v>#DIV/0!</v>
      </c>
      <c r="DD120" s="8" t="e">
        <f t="shared" si="451"/>
        <v>#DIV/0!</v>
      </c>
      <c r="DE120" s="8" t="e">
        <f t="shared" si="451"/>
        <v>#DIV/0!</v>
      </c>
      <c r="DF120" s="8" t="e">
        <f t="shared" si="451"/>
        <v>#DIV/0!</v>
      </c>
      <c r="DG120" s="8" t="e">
        <f t="shared" si="451"/>
        <v>#DIV/0!</v>
      </c>
      <c r="DH120" s="8" t="e">
        <f t="shared" si="451"/>
        <v>#DIV/0!</v>
      </c>
      <c r="DI120" s="8" t="e">
        <f t="shared" si="451"/>
        <v>#DIV/0!</v>
      </c>
      <c r="DJ120" s="8" t="e">
        <f t="shared" si="451"/>
        <v>#DIV/0!</v>
      </c>
      <c r="DK120" s="8" t="e">
        <f t="shared" si="451"/>
        <v>#DIV/0!</v>
      </c>
      <c r="DL120" s="8"/>
    </row>
    <row r="121" spans="2:116" hidden="1" outlineLevel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7"/>
      <c r="R121" s="3"/>
      <c r="S121" s="3"/>
      <c r="T121" s="3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3"/>
      <c r="CA121" s="3"/>
      <c r="CB121" s="3"/>
      <c r="CC121" s="3"/>
      <c r="CD121" s="3"/>
      <c r="CE121" s="3"/>
      <c r="CF121" s="3"/>
      <c r="CG121" s="3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</row>
    <row r="122" spans="2:116" collapsed="1">
      <c r="B122" s="272" t="s">
        <v>723</v>
      </c>
      <c r="C122" s="13" t="str">
        <f t="shared" ref="C122:AL122" si="452">C3</f>
        <v>Q1 07</v>
      </c>
      <c r="D122" s="13" t="str">
        <f t="shared" si="452"/>
        <v>Q2 07</v>
      </c>
      <c r="E122" s="13" t="str">
        <f t="shared" si="452"/>
        <v>Q3 07</v>
      </c>
      <c r="F122" s="13" t="str">
        <f t="shared" si="452"/>
        <v>Q4 07</v>
      </c>
      <c r="G122" s="13" t="str">
        <f t="shared" si="452"/>
        <v>Q1 08</v>
      </c>
      <c r="H122" s="13" t="str">
        <f t="shared" si="452"/>
        <v>Q2 08</v>
      </c>
      <c r="I122" s="13" t="str">
        <f t="shared" si="452"/>
        <v>Q3 08</v>
      </c>
      <c r="J122" s="13" t="str">
        <f t="shared" si="452"/>
        <v>Q4 08</v>
      </c>
      <c r="K122" s="13" t="str">
        <f t="shared" si="452"/>
        <v>Q1 09</v>
      </c>
      <c r="L122" s="13" t="str">
        <f t="shared" si="452"/>
        <v>Q2 09</v>
      </c>
      <c r="M122" s="13" t="str">
        <f t="shared" si="452"/>
        <v>Q3 09</v>
      </c>
      <c r="N122" s="13" t="str">
        <f t="shared" si="452"/>
        <v>Q4 09</v>
      </c>
      <c r="O122" s="13" t="str">
        <f t="shared" si="452"/>
        <v>Q1 10</v>
      </c>
      <c r="P122" s="13" t="str">
        <f t="shared" si="452"/>
        <v>Q2 10</v>
      </c>
      <c r="Q122" s="13" t="str">
        <f t="shared" si="452"/>
        <v>Q3 10</v>
      </c>
      <c r="R122" s="13" t="str">
        <f t="shared" si="452"/>
        <v>Q4 10</v>
      </c>
      <c r="S122" s="13" t="str">
        <f t="shared" si="452"/>
        <v>Q1 11</v>
      </c>
      <c r="T122" s="13" t="str">
        <f t="shared" si="452"/>
        <v>Q2 11</v>
      </c>
      <c r="U122" s="13" t="str">
        <f t="shared" si="452"/>
        <v>Q3 11</v>
      </c>
      <c r="V122" s="13" t="str">
        <f t="shared" si="452"/>
        <v>Q4 11</v>
      </c>
      <c r="W122" s="13" t="str">
        <f t="shared" si="452"/>
        <v>Q1 12</v>
      </c>
      <c r="X122" s="13" t="str">
        <f t="shared" si="452"/>
        <v>Q2 12</v>
      </c>
      <c r="Y122" s="13" t="str">
        <f t="shared" si="452"/>
        <v>Q3 12</v>
      </c>
      <c r="Z122" s="13" t="str">
        <f t="shared" si="452"/>
        <v>Q4 12</v>
      </c>
      <c r="AA122" s="13" t="str">
        <f t="shared" si="452"/>
        <v>Q1 13</v>
      </c>
      <c r="AB122" s="13" t="str">
        <f t="shared" si="452"/>
        <v>Q2 13</v>
      </c>
      <c r="AC122" s="13" t="str">
        <f t="shared" si="452"/>
        <v>Q3 13</v>
      </c>
      <c r="AD122" s="13" t="str">
        <f t="shared" si="452"/>
        <v>Q4 13</v>
      </c>
      <c r="AE122" s="13" t="str">
        <f t="shared" si="452"/>
        <v>Q1 14</v>
      </c>
      <c r="AF122" s="13" t="str">
        <f t="shared" si="452"/>
        <v>Q2 14</v>
      </c>
      <c r="AG122" s="13" t="str">
        <f t="shared" si="452"/>
        <v>Q3 14</v>
      </c>
      <c r="AH122" s="13" t="str">
        <f t="shared" si="452"/>
        <v>Q4 14</v>
      </c>
      <c r="AI122" s="13" t="str">
        <f t="shared" si="452"/>
        <v>Q1 15</v>
      </c>
      <c r="AJ122" s="13" t="str">
        <f t="shared" si="452"/>
        <v>Q2 15</v>
      </c>
      <c r="AK122" s="13" t="str">
        <f t="shared" si="452"/>
        <v>Q3 15</v>
      </c>
      <c r="AL122" s="13" t="str">
        <f t="shared" si="452"/>
        <v>Q4 15</v>
      </c>
      <c r="AM122" s="13" t="str">
        <f t="shared" ref="AM122:AZ122" si="453">AM3</f>
        <v>Q1 16</v>
      </c>
      <c r="AN122" s="13" t="str">
        <f t="shared" si="453"/>
        <v>Q2 16</v>
      </c>
      <c r="AO122" s="13" t="str">
        <f t="shared" si="453"/>
        <v>Q3 16</v>
      </c>
      <c r="AP122" s="13" t="str">
        <f t="shared" si="453"/>
        <v>Q4 16</v>
      </c>
      <c r="AQ122" s="13" t="str">
        <f t="shared" si="453"/>
        <v>Q1 17</v>
      </c>
      <c r="AR122" s="13" t="str">
        <f t="shared" si="453"/>
        <v>Q2 17</v>
      </c>
      <c r="AS122" s="13" t="str">
        <f t="shared" si="453"/>
        <v>Q3 17</v>
      </c>
      <c r="AT122" s="13" t="str">
        <f t="shared" si="453"/>
        <v>Q4 17</v>
      </c>
      <c r="AU122" s="13" t="str">
        <f t="shared" si="453"/>
        <v>Q1 18</v>
      </c>
      <c r="AV122" s="13" t="str">
        <f t="shared" si="453"/>
        <v>Q2 18</v>
      </c>
      <c r="AW122" s="13" t="str">
        <f t="shared" si="453"/>
        <v>Q3 18</v>
      </c>
      <c r="AX122" s="13" t="str">
        <f t="shared" si="453"/>
        <v>Q4 18</v>
      </c>
      <c r="AY122" s="13" t="str">
        <f t="shared" si="453"/>
        <v>Q1 19</v>
      </c>
      <c r="AZ122" s="13" t="str">
        <f t="shared" si="453"/>
        <v>Q2 19</v>
      </c>
      <c r="BA122" s="13" t="str">
        <f>BA3</f>
        <v>Q3 19</v>
      </c>
      <c r="BB122" s="13" t="str">
        <f>BB3</f>
        <v>Q4 19</v>
      </c>
      <c r="BC122" s="13" t="str">
        <f>BC3</f>
        <v>Q1 20</v>
      </c>
      <c r="BD122" s="13" t="s">
        <v>2727</v>
      </c>
      <c r="BE122" s="13" t="s">
        <v>2797</v>
      </c>
      <c r="BF122" s="13" t="s">
        <v>2819</v>
      </c>
      <c r="BG122" s="13" t="s">
        <v>2904</v>
      </c>
      <c r="BH122" s="13" t="s">
        <v>2907</v>
      </c>
      <c r="BI122" s="13" t="s">
        <v>2928</v>
      </c>
      <c r="BJ122" s="13" t="s">
        <v>2929</v>
      </c>
      <c r="BK122" s="13" t="s">
        <v>2931</v>
      </c>
      <c r="BL122" s="13" t="str">
        <f>BL3</f>
        <v>Q2 22</v>
      </c>
      <c r="BM122" s="13" t="s">
        <v>2933</v>
      </c>
      <c r="BN122" s="13" t="s">
        <v>2932</v>
      </c>
      <c r="BO122" s="13" t="s">
        <v>3209</v>
      </c>
      <c r="BP122" s="13" t="s">
        <v>3274</v>
      </c>
      <c r="BQ122" s="13" t="s">
        <v>3275</v>
      </c>
      <c r="BR122" s="13" t="s">
        <v>3317</v>
      </c>
      <c r="BS122" s="403"/>
      <c r="BT122" s="403"/>
      <c r="BU122" s="403"/>
      <c r="BV122" s="403"/>
      <c r="BW122" s="403"/>
      <c r="BX122" s="403"/>
      <c r="BY122" s="403"/>
      <c r="CA122" s="3"/>
      <c r="CB122" s="3"/>
      <c r="CC122" s="3"/>
      <c r="CD122" s="3"/>
      <c r="CE122" s="3"/>
      <c r="CF122" s="3"/>
      <c r="CG122" s="3"/>
      <c r="CH122" s="8"/>
      <c r="CI122" s="8"/>
      <c r="CJ122" s="8"/>
      <c r="CK122" s="8"/>
      <c r="CL122" s="8"/>
      <c r="CM122" s="8"/>
      <c r="CN122" s="8"/>
      <c r="CO122" s="8"/>
      <c r="CP122" s="8">
        <f t="shared" ref="CP122:DL122" si="454">(AE123+18900)/AA123-1</f>
        <v>6.1271879791890305E-2</v>
      </c>
      <c r="CQ122" s="8">
        <f t="shared" si="454"/>
        <v>-5.2049446974625879E-2</v>
      </c>
      <c r="CR122" s="8">
        <f t="shared" si="454"/>
        <v>-5.8700753287330709E-2</v>
      </c>
      <c r="CS122" s="8">
        <f t="shared" si="454"/>
        <v>-8.7617203001818411E-2</v>
      </c>
      <c r="CT122" s="8">
        <f t="shared" si="454"/>
        <v>4.188417701325764E-2</v>
      </c>
      <c r="CU122" s="8">
        <f t="shared" si="454"/>
        <v>9.5551162344173379E-2</v>
      </c>
      <c r="CV122" s="8">
        <f t="shared" si="454"/>
        <v>8.3357249454712345E-2</v>
      </c>
      <c r="CW122" s="8">
        <f t="shared" si="454"/>
        <v>6.2238698098396439E-2</v>
      </c>
      <c r="CX122" s="8">
        <f t="shared" si="454"/>
        <v>3.2867924266303694E-2</v>
      </c>
      <c r="CY122" s="8">
        <f t="shared" si="454"/>
        <v>-2.2955240910741193E-2</v>
      </c>
      <c r="CZ122" s="8">
        <f t="shared" si="454"/>
        <v>5.1962640592324583E-3</v>
      </c>
      <c r="DA122" s="8">
        <f t="shared" si="454"/>
        <v>1.670627005463543E-2</v>
      </c>
      <c r="DB122" s="8">
        <f t="shared" si="454"/>
        <v>5.516276065032466E-3</v>
      </c>
      <c r="DC122" s="8">
        <f t="shared" si="454"/>
        <v>6.8944462142932927E-2</v>
      </c>
      <c r="DD122" s="8">
        <f t="shared" si="454"/>
        <v>3.613278676799947E-2</v>
      </c>
      <c r="DE122" s="8">
        <f t="shared" si="454"/>
        <v>5.2926609553194615E-2</v>
      </c>
      <c r="DF122" s="8">
        <f t="shared" si="454"/>
        <v>3.4857061932812128E-2</v>
      </c>
      <c r="DG122" s="8">
        <f t="shared" si="454"/>
        <v>2.2737730790439503E-2</v>
      </c>
      <c r="DH122" s="8">
        <f t="shared" si="454"/>
        <v>2.2562198175988257E-2</v>
      </c>
      <c r="DI122" s="8">
        <f t="shared" si="454"/>
        <v>2.233481466106757E-2</v>
      </c>
      <c r="DJ122" s="8">
        <f t="shared" si="454"/>
        <v>3.1832316660966864E-2</v>
      </c>
      <c r="DK122" s="8">
        <f t="shared" si="454"/>
        <v>-4.1994288776725508E-4</v>
      </c>
      <c r="DL122" s="8">
        <f t="shared" si="454"/>
        <v>5.3872275347185195E-2</v>
      </c>
    </row>
    <row r="123" spans="2:116">
      <c r="B123" s="3" t="s">
        <v>28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7">
        <f t="shared" ref="N123:X123" si="455">N85</f>
        <v>196372</v>
      </c>
      <c r="O123" s="7">
        <f t="shared" si="455"/>
        <v>191968</v>
      </c>
      <c r="P123" s="7">
        <f t="shared" si="455"/>
        <v>206323</v>
      </c>
      <c r="Q123" s="7">
        <f t="shared" si="455"/>
        <v>205814</v>
      </c>
      <c r="R123" s="7">
        <f t="shared" si="455"/>
        <v>235950</v>
      </c>
      <c r="S123" s="7">
        <f t="shared" si="455"/>
        <v>228751</v>
      </c>
      <c r="T123" s="7">
        <f t="shared" si="455"/>
        <v>235412</v>
      </c>
      <c r="U123" s="7">
        <f t="shared" si="455"/>
        <v>239821</v>
      </c>
      <c r="V123" s="7">
        <f t="shared" si="455"/>
        <v>262725</v>
      </c>
      <c r="W123" s="7">
        <f t="shared" si="455"/>
        <v>271011</v>
      </c>
      <c r="X123" s="7">
        <f t="shared" si="455"/>
        <v>275153</v>
      </c>
      <c r="Y123" s="7">
        <f>Y85</f>
        <v>278056</v>
      </c>
      <c r="Z123" s="7">
        <f>318470-Z131</f>
        <v>300955</v>
      </c>
      <c r="AA123" s="7">
        <f>AA128-AA127-AA125-AA124</f>
        <v>295421</v>
      </c>
      <c r="AB123" s="7">
        <f>AB128-AB127-AB125-AB124</f>
        <v>316622</v>
      </c>
      <c r="AC123" s="7">
        <v>316214</v>
      </c>
      <c r="AD123" s="7">
        <f>AD128-AD127-AD125-AD124-AD126</f>
        <v>337662</v>
      </c>
      <c r="AE123" s="7">
        <f>AE128-AE127-AE125-AE124-AE126</f>
        <v>294622</v>
      </c>
      <c r="AF123" s="7">
        <f>AF128-AF127-AF125-AF124-AF126</f>
        <v>281242</v>
      </c>
      <c r="AG123" s="7">
        <v>278752</v>
      </c>
      <c r="AH123" s="99">
        <v>289177</v>
      </c>
      <c r="AI123" s="99">
        <v>288062</v>
      </c>
      <c r="AJ123" s="7">
        <v>289215</v>
      </c>
      <c r="AK123" s="7">
        <v>283088</v>
      </c>
      <c r="AL123" s="410">
        <v>288275</v>
      </c>
      <c r="AM123" s="7">
        <v>278630</v>
      </c>
      <c r="AN123" s="7">
        <v>263676</v>
      </c>
      <c r="AO123" s="7">
        <v>265659</v>
      </c>
      <c r="AP123" s="7">
        <v>274191</v>
      </c>
      <c r="AQ123" s="7">
        <v>261267</v>
      </c>
      <c r="AR123" s="7">
        <v>262955</v>
      </c>
      <c r="AS123" s="7">
        <v>256358</v>
      </c>
      <c r="AT123" s="7">
        <v>269803</v>
      </c>
      <c r="AU123" s="421">
        <v>251474</v>
      </c>
      <c r="AV123" s="421">
        <v>250034</v>
      </c>
      <c r="AW123" s="421">
        <v>243242</v>
      </c>
      <c r="AX123" s="421">
        <v>256929</v>
      </c>
      <c r="AY123" s="7">
        <v>240579</v>
      </c>
      <c r="AZ123" s="7">
        <v>231029</v>
      </c>
      <c r="BA123" s="7">
        <v>237446</v>
      </c>
      <c r="BB123" s="7">
        <v>241423</v>
      </c>
      <c r="BC123" s="7">
        <f>'New Ints'!K3</f>
        <v>243810</v>
      </c>
      <c r="BD123" s="7">
        <f>'New Ints'!L3</f>
        <v>224752</v>
      </c>
      <c r="BE123" s="7">
        <f>'New Ints'!M3</f>
        <v>262294</v>
      </c>
      <c r="BF123" s="7">
        <f>'New Ints'!N3</f>
        <v>285575</v>
      </c>
      <c r="BG123" s="7">
        <f>'New Ints'!O3</f>
        <v>281463</v>
      </c>
      <c r="BH123" s="7">
        <f>'New Ints'!P3</f>
        <v>297419</v>
      </c>
      <c r="BI123" s="7">
        <f>'New Ints'!Q3</f>
        <v>296919</v>
      </c>
      <c r="BJ123" s="7">
        <f>'New Ints'!R3</f>
        <v>311886</v>
      </c>
      <c r="BK123" s="7">
        <f>'New Ints'!S3</f>
        <v>292493</v>
      </c>
      <c r="BL123" s="7">
        <f>'New Ints'!T3</f>
        <v>301546</v>
      </c>
      <c r="BM123" s="7">
        <f>'New Ints'!U3</f>
        <v>283992</v>
      </c>
      <c r="BN123" s="7">
        <f>'New Ints'!V3</f>
        <v>288835</v>
      </c>
      <c r="BO123" s="7">
        <f>'New Ints'!W3</f>
        <v>289615</v>
      </c>
      <c r="BP123" s="7">
        <v>283897</v>
      </c>
      <c r="BQ123" s="428">
        <v>278230</v>
      </c>
      <c r="BR123" s="7">
        <f>'New Ints'!Z3</f>
        <v>309269</v>
      </c>
      <c r="BS123" s="7"/>
      <c r="BT123" s="7"/>
      <c r="BU123" s="7"/>
      <c r="BV123" s="7"/>
      <c r="BW123" s="3"/>
      <c r="BX123" s="3"/>
      <c r="BY123" s="3"/>
      <c r="CA123" s="3"/>
      <c r="CB123" s="3"/>
      <c r="CC123" s="8">
        <f t="shared" ref="CC123:CL125" si="456">R123/N123-1</f>
        <v>0.20154604526103514</v>
      </c>
      <c r="CD123" s="8">
        <f t="shared" si="456"/>
        <v>0.19161006001000169</v>
      </c>
      <c r="CE123" s="8">
        <f t="shared" si="456"/>
        <v>0.1409876746654517</v>
      </c>
      <c r="CF123" s="8">
        <f t="shared" si="456"/>
        <v>0.16523171407192905</v>
      </c>
      <c r="CG123" s="8">
        <f t="shared" si="456"/>
        <v>0.11347743165924995</v>
      </c>
      <c r="CH123" s="8">
        <f t="shared" si="456"/>
        <v>0.18474236178202497</v>
      </c>
      <c r="CI123" s="8">
        <f t="shared" si="456"/>
        <v>0.16881467384840199</v>
      </c>
      <c r="CJ123" s="8">
        <f t="shared" si="456"/>
        <v>0.15943140925940602</v>
      </c>
      <c r="CK123" s="8">
        <f t="shared" si="456"/>
        <v>0.14551336949281568</v>
      </c>
      <c r="CL123" s="8">
        <f t="shared" si="456"/>
        <v>9.0070144754271997E-2</v>
      </c>
      <c r="CM123" s="8">
        <f t="shared" ref="CM123:CV125" si="457">AB123/X123-1</f>
        <v>0.15071251267476637</v>
      </c>
      <c r="CN123" s="8">
        <f t="shared" si="457"/>
        <v>0.13723134908076062</v>
      </c>
      <c r="CO123" s="8">
        <f t="shared" si="457"/>
        <v>0.12196840059145053</v>
      </c>
      <c r="CP123" s="8">
        <f t="shared" si="457"/>
        <v>-2.7046147701077494E-3</v>
      </c>
      <c r="CQ123" s="8">
        <f t="shared" si="457"/>
        <v>-0.11174207730353547</v>
      </c>
      <c r="CR123" s="8">
        <f t="shared" si="457"/>
        <v>-0.11847040295496092</v>
      </c>
      <c r="CS123" s="8">
        <f t="shared" si="457"/>
        <v>-0.14359033589802817</v>
      </c>
      <c r="CT123" s="8">
        <f t="shared" si="457"/>
        <v>-2.226581857430876E-2</v>
      </c>
      <c r="CU123" s="8">
        <f t="shared" si="457"/>
        <v>2.8349250823134442E-2</v>
      </c>
      <c r="CV123" s="8">
        <f t="shared" si="457"/>
        <v>1.5555045344966212E-2</v>
      </c>
      <c r="CW123" s="8">
        <f t="shared" ref="CW123:DF125" si="458">AL123/AH123-1</f>
        <v>-3.1191968932522407E-3</v>
      </c>
      <c r="CX123" s="8">
        <f t="shared" si="458"/>
        <v>-3.274295117023418E-2</v>
      </c>
      <c r="CY123" s="8">
        <f t="shared" si="458"/>
        <v>-8.8304548519267723E-2</v>
      </c>
      <c r="CZ123" s="8">
        <f t="shared" si="458"/>
        <v>-6.1567427796303642E-2</v>
      </c>
      <c r="DA123" s="8">
        <f t="shared" si="458"/>
        <v>-4.8856126962102175E-2</v>
      </c>
      <c r="DB123" s="8">
        <f t="shared" si="458"/>
        <v>-6.2315615691059811E-2</v>
      </c>
      <c r="DC123" s="8">
        <f t="shared" si="458"/>
        <v>-2.7344164808325022E-3</v>
      </c>
      <c r="DD123" s="8">
        <f t="shared" si="458"/>
        <v>-3.5011047997621003E-2</v>
      </c>
      <c r="DE123" s="8">
        <f t="shared" si="458"/>
        <v>-1.6003442855527683E-2</v>
      </c>
      <c r="DF123" s="8">
        <f t="shared" si="458"/>
        <v>-3.7482728396621035E-2</v>
      </c>
      <c r="DG123" s="8">
        <f t="shared" ref="DG123:DL125" si="459">AV123/AR123-1</f>
        <v>-4.913768515525474E-2</v>
      </c>
      <c r="DH123" s="8">
        <f t="shared" si="459"/>
        <v>-5.116282698413932E-2</v>
      </c>
      <c r="DI123" s="8">
        <f t="shared" si="459"/>
        <v>-4.7716296705373917E-2</v>
      </c>
      <c r="DJ123" s="8">
        <f t="shared" si="459"/>
        <v>-4.3324558403652014E-2</v>
      </c>
      <c r="DK123" s="8">
        <f t="shared" si="459"/>
        <v>-7.6009662685874724E-2</v>
      </c>
      <c r="DL123" s="8">
        <f t="shared" si="459"/>
        <v>-2.3828121788178058E-2</v>
      </c>
    </row>
    <row r="124" spans="2:116">
      <c r="B124" s="3" t="s">
        <v>29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>
        <f t="shared" ref="N124:U124" si="460">N106</f>
        <v>53954</v>
      </c>
      <c r="O124" s="3">
        <f t="shared" si="460"/>
        <v>52030</v>
      </c>
      <c r="P124" s="3">
        <f t="shared" si="460"/>
        <v>52514</v>
      </c>
      <c r="Q124" s="3">
        <f t="shared" si="460"/>
        <v>53498</v>
      </c>
      <c r="R124" s="3">
        <f t="shared" si="460"/>
        <v>58167</v>
      </c>
      <c r="S124" s="3">
        <f t="shared" si="460"/>
        <v>56300</v>
      </c>
      <c r="T124" s="3">
        <f t="shared" si="460"/>
        <v>57405</v>
      </c>
      <c r="U124" s="3">
        <f t="shared" si="460"/>
        <v>58291</v>
      </c>
      <c r="V124" s="3">
        <f t="shared" ref="V124:AD124" si="461">V106</f>
        <v>62630</v>
      </c>
      <c r="W124" s="3">
        <f t="shared" si="461"/>
        <v>59295</v>
      </c>
      <c r="X124" s="3">
        <f t="shared" si="461"/>
        <v>64535</v>
      </c>
      <c r="Y124" s="3">
        <f t="shared" si="461"/>
        <v>64406</v>
      </c>
      <c r="Z124" s="3">
        <f t="shared" si="461"/>
        <v>67143</v>
      </c>
      <c r="AA124" s="3">
        <f t="shared" si="461"/>
        <v>64828</v>
      </c>
      <c r="AB124" s="3">
        <f t="shared" si="461"/>
        <v>62034</v>
      </c>
      <c r="AC124" s="3">
        <f t="shared" si="461"/>
        <v>67837</v>
      </c>
      <c r="AD124" s="3">
        <f t="shared" si="461"/>
        <v>77816</v>
      </c>
      <c r="AE124" s="3">
        <f t="shared" ref="AE124:BE124" si="462">AE106</f>
        <v>75147</v>
      </c>
      <c r="AF124" s="3">
        <f t="shared" si="462"/>
        <v>77613</v>
      </c>
      <c r="AG124" s="3">
        <f t="shared" si="462"/>
        <v>75816</v>
      </c>
      <c r="AH124" s="3">
        <f t="shared" si="462"/>
        <v>69847</v>
      </c>
      <c r="AI124" s="3">
        <f t="shared" si="462"/>
        <v>70879</v>
      </c>
      <c r="AJ124" s="3">
        <f t="shared" si="462"/>
        <v>74322</v>
      </c>
      <c r="AK124" s="3">
        <f t="shared" si="462"/>
        <v>75520</v>
      </c>
      <c r="AL124" s="3">
        <f t="shared" si="462"/>
        <v>81851</v>
      </c>
      <c r="AM124" s="3">
        <f t="shared" si="462"/>
        <v>78711</v>
      </c>
      <c r="AN124" s="3">
        <f t="shared" si="462"/>
        <v>86686</v>
      </c>
      <c r="AO124" s="3">
        <f t="shared" si="462"/>
        <v>86597</v>
      </c>
      <c r="AP124" s="3">
        <f t="shared" si="462"/>
        <v>89867</v>
      </c>
      <c r="AQ124" s="3">
        <f t="shared" si="462"/>
        <v>87152</v>
      </c>
      <c r="AR124" s="3">
        <f t="shared" si="462"/>
        <v>87467</v>
      </c>
      <c r="AS124" s="3">
        <f t="shared" si="462"/>
        <v>91156</v>
      </c>
      <c r="AT124" s="3">
        <f t="shared" si="462"/>
        <v>91898</v>
      </c>
      <c r="AU124" s="3">
        <f t="shared" si="462"/>
        <v>88005</v>
      </c>
      <c r="AV124" s="3">
        <f t="shared" si="462"/>
        <v>90816</v>
      </c>
      <c r="AW124" s="3">
        <f t="shared" si="462"/>
        <v>92601</v>
      </c>
      <c r="AX124" s="3">
        <f t="shared" si="462"/>
        <v>98182</v>
      </c>
      <c r="AY124" s="3">
        <f t="shared" si="462"/>
        <v>92376</v>
      </c>
      <c r="AZ124" s="3">
        <f t="shared" si="462"/>
        <v>97106</v>
      </c>
      <c r="BA124" s="3">
        <f t="shared" si="462"/>
        <v>95176</v>
      </c>
      <c r="BB124" s="3">
        <f t="shared" si="462"/>
        <v>98692</v>
      </c>
      <c r="BC124" s="3">
        <f t="shared" si="462"/>
        <v>0</v>
      </c>
      <c r="BD124" s="3">
        <f t="shared" si="462"/>
        <v>0</v>
      </c>
      <c r="BE124" s="3">
        <f t="shared" si="462"/>
        <v>0</v>
      </c>
      <c r="BF124" s="3"/>
      <c r="BG124" s="7"/>
      <c r="BL124" s="7"/>
      <c r="BM124" s="7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CA124" s="3"/>
      <c r="CB124" s="3"/>
      <c r="CC124" s="8">
        <f t="shared" si="456"/>
        <v>7.808503540052647E-2</v>
      </c>
      <c r="CD124" s="8">
        <f t="shared" si="456"/>
        <v>8.2068037670574689E-2</v>
      </c>
      <c r="CE124" s="8">
        <f t="shared" si="456"/>
        <v>9.3137068210382035E-2</v>
      </c>
      <c r="CF124" s="8">
        <f t="shared" si="456"/>
        <v>8.959213428539381E-2</v>
      </c>
      <c r="CG124" s="8">
        <f t="shared" si="456"/>
        <v>7.672735399797137E-2</v>
      </c>
      <c r="CH124" s="8">
        <f t="shared" si="456"/>
        <v>5.319715808170522E-2</v>
      </c>
      <c r="CI124" s="8">
        <f t="shared" si="456"/>
        <v>0.12420520860552209</v>
      </c>
      <c r="CJ124" s="8">
        <f t="shared" si="456"/>
        <v>0.10490470226964721</v>
      </c>
      <c r="CK124" s="8">
        <f t="shared" si="456"/>
        <v>7.2058119112246466E-2</v>
      </c>
      <c r="CL124" s="8">
        <f t="shared" si="456"/>
        <v>9.3313095539252933E-2</v>
      </c>
      <c r="CM124" s="8">
        <f t="shared" si="457"/>
        <v>-3.8754164406910929E-2</v>
      </c>
      <c r="CN124" s="8">
        <f t="shared" si="457"/>
        <v>5.3271434338415746E-2</v>
      </c>
      <c r="CO124" s="8">
        <f t="shared" si="457"/>
        <v>0.15895923625694408</v>
      </c>
      <c r="CP124" s="8">
        <f t="shared" si="457"/>
        <v>0.15917504781884362</v>
      </c>
      <c r="CQ124" s="8">
        <f t="shared" si="457"/>
        <v>0.25113647354676472</v>
      </c>
      <c r="CR124" s="8">
        <f t="shared" si="457"/>
        <v>0.11762017777908818</v>
      </c>
      <c r="CS124" s="8">
        <f t="shared" si="457"/>
        <v>-0.1024082450909839</v>
      </c>
      <c r="CT124" s="8">
        <f t="shared" si="457"/>
        <v>-5.6795347785008055E-2</v>
      </c>
      <c r="CU124" s="8">
        <f t="shared" si="457"/>
        <v>-4.2402690270959775E-2</v>
      </c>
      <c r="CV124" s="8">
        <f t="shared" si="457"/>
        <v>-3.9041890893742881E-3</v>
      </c>
      <c r="CW124" s="8">
        <f t="shared" si="458"/>
        <v>0.17186135410253844</v>
      </c>
      <c r="CX124" s="8">
        <f t="shared" si="458"/>
        <v>0.11049817294262043</v>
      </c>
      <c r="CY124" s="8">
        <f t="shared" si="458"/>
        <v>0.16635720244342189</v>
      </c>
      <c r="CZ124" s="8">
        <f t="shared" si="458"/>
        <v>0.14667637711864412</v>
      </c>
      <c r="DA124" s="8">
        <f t="shared" si="458"/>
        <v>9.793405089736229E-2</v>
      </c>
      <c r="DB124" s="8">
        <f t="shared" si="458"/>
        <v>0.10724041112423932</v>
      </c>
      <c r="DC124" s="8">
        <f t="shared" si="458"/>
        <v>9.0095286436102651E-3</v>
      </c>
      <c r="DD124" s="8">
        <f t="shared" si="458"/>
        <v>5.2646165571555548E-2</v>
      </c>
      <c r="DE124" s="8">
        <f t="shared" si="458"/>
        <v>2.2600064539819886E-2</v>
      </c>
      <c r="DF124" s="8">
        <f t="shared" si="458"/>
        <v>9.7874977051588541E-3</v>
      </c>
      <c r="DG124" s="8">
        <f t="shared" si="459"/>
        <v>3.8288726033818499E-2</v>
      </c>
      <c r="DH124" s="8">
        <f t="shared" si="459"/>
        <v>1.5851946114353366E-2</v>
      </c>
      <c r="DI124" s="8">
        <f t="shared" si="459"/>
        <v>6.8380160612853347E-2</v>
      </c>
      <c r="DJ124" s="8">
        <f t="shared" si="459"/>
        <v>4.9667632520879579E-2</v>
      </c>
      <c r="DK124" s="8">
        <f t="shared" si="459"/>
        <v>6.9260923185341827E-2</v>
      </c>
      <c r="DL124" s="8">
        <f t="shared" si="459"/>
        <v>2.7807475081262689E-2</v>
      </c>
    </row>
    <row r="125" spans="2:116">
      <c r="B125" s="3" t="s">
        <v>782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7">
        <f t="shared" ref="N125:U125" si="463">N93</f>
        <v>4831</v>
      </c>
      <c r="O125" s="7">
        <f t="shared" si="463"/>
        <v>4892</v>
      </c>
      <c r="P125" s="7">
        <f t="shared" si="463"/>
        <v>4934</v>
      </c>
      <c r="Q125" s="7">
        <f t="shared" si="463"/>
        <v>4778</v>
      </c>
      <c r="R125" s="7">
        <f t="shared" si="463"/>
        <v>4807</v>
      </c>
      <c r="S125" s="7">
        <f t="shared" si="463"/>
        <v>4654</v>
      </c>
      <c r="T125" s="7">
        <f t="shared" si="463"/>
        <v>4525</v>
      </c>
      <c r="U125" s="7">
        <f t="shared" si="463"/>
        <v>4849</v>
      </c>
      <c r="V125" s="7">
        <f t="shared" ref="V125:AA125" si="464">V93</f>
        <v>5119</v>
      </c>
      <c r="W125" s="7">
        <f t="shared" si="464"/>
        <v>5267</v>
      </c>
      <c r="X125" s="7">
        <f t="shared" si="464"/>
        <v>5227</v>
      </c>
      <c r="Y125" s="7">
        <f t="shared" si="464"/>
        <v>4950</v>
      </c>
      <c r="Z125" s="7">
        <f t="shared" si="464"/>
        <v>4667</v>
      </c>
      <c r="AA125" s="7">
        <f t="shared" si="464"/>
        <v>4928</v>
      </c>
      <c r="AB125" s="7">
        <f>AB93</f>
        <v>5259</v>
      </c>
      <c r="AC125" s="7">
        <f>5519</f>
        <v>5519</v>
      </c>
      <c r="AD125" s="7">
        <v>5686</v>
      </c>
      <c r="AE125" s="7">
        <v>5982</v>
      </c>
      <c r="AF125" s="7">
        <v>6291</v>
      </c>
      <c r="AG125" s="7">
        <v>6741</v>
      </c>
      <c r="AH125" s="7">
        <v>6436</v>
      </c>
      <c r="AI125" s="7">
        <v>6795</v>
      </c>
      <c r="AJ125" s="7">
        <v>6284</v>
      </c>
      <c r="AK125" s="7">
        <v>6655</v>
      </c>
      <c r="AL125" s="7">
        <v>6645</v>
      </c>
      <c r="AM125" s="7">
        <v>6261</v>
      </c>
      <c r="AN125" s="7">
        <v>6240</v>
      </c>
      <c r="AO125" s="7">
        <v>5906</v>
      </c>
      <c r="AP125" s="7">
        <v>5644</v>
      </c>
      <c r="AQ125" s="7">
        <v>5594</v>
      </c>
      <c r="AR125" s="7">
        <v>5855</v>
      </c>
      <c r="AS125" s="7">
        <v>5682</v>
      </c>
      <c r="AT125" s="7">
        <v>6578</v>
      </c>
      <c r="AU125" s="421">
        <v>4539</v>
      </c>
      <c r="AV125" s="421">
        <v>5056</v>
      </c>
      <c r="AW125" s="421">
        <v>5317</v>
      </c>
      <c r="AX125" s="421">
        <v>5538</v>
      </c>
      <c r="AY125" s="7">
        <v>5267</v>
      </c>
      <c r="AZ125" s="7">
        <v>5371</v>
      </c>
      <c r="BA125" s="7">
        <v>5311</v>
      </c>
      <c r="BB125" s="7">
        <v>6199</v>
      </c>
      <c r="BC125" s="7"/>
      <c r="BD125" s="7"/>
      <c r="BE125" s="7"/>
      <c r="BF125" s="7"/>
      <c r="BG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3"/>
      <c r="BX125" s="3"/>
      <c r="BY125" s="3"/>
      <c r="CA125" s="3"/>
      <c r="CB125" s="3"/>
      <c r="CC125" s="8">
        <f t="shared" si="456"/>
        <v>-4.9679155454357415E-3</v>
      </c>
      <c r="CD125" s="8">
        <f t="shared" si="456"/>
        <v>-4.8650858544562525E-2</v>
      </c>
      <c r="CE125" s="8">
        <f t="shared" si="456"/>
        <v>-8.2894203486015394E-2</v>
      </c>
      <c r="CF125" s="8">
        <f t="shared" si="456"/>
        <v>1.4859773964001732E-2</v>
      </c>
      <c r="CG125" s="8">
        <f t="shared" si="456"/>
        <v>6.4905346369877215E-2</v>
      </c>
      <c r="CH125" s="8">
        <f t="shared" si="456"/>
        <v>0.13171465406102278</v>
      </c>
      <c r="CI125" s="8">
        <f t="shared" si="456"/>
        <v>0.15513812154696138</v>
      </c>
      <c r="CJ125" s="8">
        <f t="shared" si="456"/>
        <v>2.0829036914827848E-2</v>
      </c>
      <c r="CK125" s="8">
        <f t="shared" si="456"/>
        <v>-8.8298495799960963E-2</v>
      </c>
      <c r="CL125" s="8">
        <f t="shared" si="456"/>
        <v>-6.4363014999050727E-2</v>
      </c>
      <c r="CM125" s="8">
        <f t="shared" si="457"/>
        <v>6.1220585421848384E-3</v>
      </c>
      <c r="CN125" s="8">
        <f t="shared" si="457"/>
        <v>0.11494949494949491</v>
      </c>
      <c r="CO125" s="8">
        <f t="shared" si="457"/>
        <v>0.21834154703235487</v>
      </c>
      <c r="CP125" s="8">
        <f t="shared" si="457"/>
        <v>0.21387987012987009</v>
      </c>
      <c r="CQ125" s="8">
        <f t="shared" si="457"/>
        <v>0.19623502567027962</v>
      </c>
      <c r="CR125" s="8">
        <f t="shared" si="457"/>
        <v>0.22141692335568042</v>
      </c>
      <c r="CS125" s="8">
        <f t="shared" si="457"/>
        <v>0.13190291945128396</v>
      </c>
      <c r="CT125" s="8">
        <f t="shared" si="457"/>
        <v>0.1359077231695085</v>
      </c>
      <c r="CU125" s="8">
        <f t="shared" si="457"/>
        <v>-1.1127006835160991E-3</v>
      </c>
      <c r="CV125" s="8">
        <f t="shared" si="457"/>
        <v>-1.2757751075508139E-2</v>
      </c>
      <c r="CW125" s="8">
        <f t="shared" si="458"/>
        <v>3.2473586078309413E-2</v>
      </c>
      <c r="CX125" s="8">
        <f t="shared" si="458"/>
        <v>-7.8587196467991172E-2</v>
      </c>
      <c r="CY125" s="8">
        <f t="shared" si="458"/>
        <v>-7.0019096117123203E-3</v>
      </c>
      <c r="CZ125" s="8">
        <f t="shared" si="458"/>
        <v>-0.11254695717505636</v>
      </c>
      <c r="DA125" s="8">
        <f t="shared" si="458"/>
        <v>-0.15063957863054933</v>
      </c>
      <c r="DB125" s="8">
        <f t="shared" si="458"/>
        <v>-0.10653250279508064</v>
      </c>
      <c r="DC125" s="8">
        <f t="shared" si="458"/>
        <v>-6.1698717948717952E-2</v>
      </c>
      <c r="DD125" s="8">
        <f t="shared" si="458"/>
        <v>-3.7927531324077224E-2</v>
      </c>
      <c r="DE125" s="8">
        <f t="shared" si="458"/>
        <v>0.16548547129695246</v>
      </c>
      <c r="DF125" s="8">
        <f t="shared" si="458"/>
        <v>-0.18859492313192705</v>
      </c>
      <c r="DG125" s="8">
        <f t="shared" si="459"/>
        <v>-0.13646456020495301</v>
      </c>
      <c r="DH125" s="8">
        <f t="shared" si="459"/>
        <v>-6.4237944385779677E-2</v>
      </c>
      <c r="DI125" s="8">
        <f t="shared" si="459"/>
        <v>-0.15810276679841895</v>
      </c>
      <c r="DJ125" s="8">
        <f t="shared" si="459"/>
        <v>0.16038775060586041</v>
      </c>
      <c r="DK125" s="8">
        <f t="shared" si="459"/>
        <v>6.2302215189873333E-2</v>
      </c>
      <c r="DL125" s="8">
        <f t="shared" si="459"/>
        <v>-1.1284558961820457E-3</v>
      </c>
    </row>
    <row r="126" spans="2:116">
      <c r="B126" s="3" t="s">
        <v>783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>
        <v>12158</v>
      </c>
      <c r="AD126" s="7">
        <v>33997</v>
      </c>
      <c r="AE126" s="7">
        <v>35749</v>
      </c>
      <c r="AF126" s="7">
        <v>35494</v>
      </c>
      <c r="AG126" s="7">
        <v>37122</v>
      </c>
      <c r="AH126" s="7">
        <v>43938</v>
      </c>
      <c r="AI126" s="7">
        <v>49095</v>
      </c>
      <c r="AJ126" s="7">
        <v>50972</v>
      </c>
      <c r="AK126" s="7">
        <v>63795</v>
      </c>
      <c r="AL126" s="7">
        <v>73606</v>
      </c>
      <c r="AM126" s="7">
        <v>79522</v>
      </c>
      <c r="AN126" s="7">
        <v>82771</v>
      </c>
      <c r="AO126" s="7">
        <v>90072</v>
      </c>
      <c r="AP126" s="7">
        <v>95929</v>
      </c>
      <c r="AQ126" s="7">
        <v>102238</v>
      </c>
      <c r="AR126" s="7">
        <v>111307</v>
      </c>
      <c r="AS126" s="7">
        <v>116420</v>
      </c>
      <c r="AT126" s="7">
        <v>130219</v>
      </c>
      <c r="AU126" s="421">
        <v>106869</v>
      </c>
      <c r="AV126" s="421">
        <v>109828</v>
      </c>
      <c r="AW126" s="421">
        <v>124179</v>
      </c>
      <c r="AX126" s="421">
        <v>132061</v>
      </c>
      <c r="AY126" s="7">
        <v>124482</v>
      </c>
      <c r="AZ126" s="7">
        <v>138038</v>
      </c>
      <c r="BA126" s="7">
        <v>146356</v>
      </c>
      <c r="BB126" s="7">
        <v>170375</v>
      </c>
      <c r="BC126" s="7">
        <v>159437</v>
      </c>
      <c r="BD126" s="7">
        <v>122354</v>
      </c>
      <c r="BE126" s="7">
        <v>161992</v>
      </c>
      <c r="BF126" s="7">
        <v>183236</v>
      </c>
      <c r="BG126" s="7">
        <v>170128</v>
      </c>
      <c r="BH126" s="7">
        <v>182627</v>
      </c>
      <c r="BI126" s="7">
        <v>193030</v>
      </c>
      <c r="BJ126" s="7">
        <v>220940</v>
      </c>
      <c r="BK126" s="7">
        <v>226551</v>
      </c>
      <c r="BL126" s="7">
        <v>220661</v>
      </c>
      <c r="BM126" s="7">
        <v>209811</v>
      </c>
      <c r="BN126" s="7">
        <v>210878</v>
      </c>
      <c r="BO126" s="7">
        <v>187404</v>
      </c>
      <c r="BP126" s="7">
        <v>185211</v>
      </c>
      <c r="BQ126" s="7">
        <v>199208</v>
      </c>
      <c r="BR126" s="7">
        <v>210963</v>
      </c>
      <c r="BS126" s="7"/>
      <c r="BT126" s="7"/>
      <c r="BU126" s="7"/>
      <c r="BV126" s="7"/>
      <c r="BW126" s="7"/>
      <c r="BX126" s="7"/>
      <c r="BY126" s="7"/>
      <c r="CA126" s="3"/>
      <c r="CB126" s="3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</row>
    <row r="127" spans="2:116">
      <c r="B127" s="2" t="s">
        <v>20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>
        <f t="shared" ref="N127:T127" si="465">N113+N112</f>
        <v>3098</v>
      </c>
      <c r="O127" s="2">
        <f t="shared" si="465"/>
        <v>6121</v>
      </c>
      <c r="P127" s="2">
        <f t="shared" si="465"/>
        <v>3082</v>
      </c>
      <c r="Q127" s="2">
        <f t="shared" si="465"/>
        <v>2863</v>
      </c>
      <c r="R127" s="2">
        <f t="shared" si="465"/>
        <v>2209</v>
      </c>
      <c r="S127" s="2">
        <f t="shared" si="465"/>
        <v>4414</v>
      </c>
      <c r="T127" s="2">
        <f t="shared" si="465"/>
        <v>4315</v>
      </c>
      <c r="U127" s="2">
        <f t="shared" ref="U127:Z127" si="466">U113+U112</f>
        <v>4169</v>
      </c>
      <c r="V127" s="2">
        <f t="shared" si="466"/>
        <v>7535</v>
      </c>
      <c r="W127" s="2">
        <f t="shared" si="466"/>
        <v>4191</v>
      </c>
      <c r="X127" s="2">
        <f t="shared" si="466"/>
        <v>6735</v>
      </c>
      <c r="Y127" s="2">
        <f t="shared" si="466"/>
        <v>5879</v>
      </c>
      <c r="Z127" s="2">
        <f t="shared" si="466"/>
        <v>5437</v>
      </c>
      <c r="AA127" s="9">
        <f t="shared" ref="AA127:AG127" si="467">AA113+AA112</f>
        <v>5738</v>
      </c>
      <c r="AB127" s="9">
        <f t="shared" si="467"/>
        <v>8991</v>
      </c>
      <c r="AC127" s="9">
        <f t="shared" si="467"/>
        <v>6358</v>
      </c>
      <c r="AD127" s="9">
        <f t="shared" si="467"/>
        <v>6634</v>
      </c>
      <c r="AE127" s="9">
        <f t="shared" si="467"/>
        <v>8320</v>
      </c>
      <c r="AF127" s="9">
        <f t="shared" si="467"/>
        <v>6418</v>
      </c>
      <c r="AG127" s="9">
        <f t="shared" si="467"/>
        <v>7450</v>
      </c>
      <c r="AH127" s="9">
        <f t="shared" ref="AH127:BB127" si="468">AH128-AH123-AH124-AH125-AH126</f>
        <v>21896</v>
      </c>
      <c r="AI127" s="9">
        <f t="shared" si="468"/>
        <v>18516</v>
      </c>
      <c r="AJ127" s="9">
        <f t="shared" si="468"/>
        <v>15971</v>
      </c>
      <c r="AK127" s="9">
        <f t="shared" si="468"/>
        <v>19592</v>
      </c>
      <c r="AL127" s="9">
        <f t="shared" si="468"/>
        <v>23726</v>
      </c>
      <c r="AM127" s="9">
        <f t="shared" si="468"/>
        <v>18186</v>
      </c>
      <c r="AN127" s="9">
        <f t="shared" si="468"/>
        <v>19628</v>
      </c>
      <c r="AO127" s="9">
        <f t="shared" si="468"/>
        <v>21936</v>
      </c>
      <c r="AP127" s="9">
        <f t="shared" si="468"/>
        <v>19890</v>
      </c>
      <c r="AQ127" s="9">
        <f t="shared" si="468"/>
        <v>20774</v>
      </c>
      <c r="AR127" s="9">
        <f t="shared" si="468"/>
        <v>13766</v>
      </c>
      <c r="AS127" s="9">
        <f t="shared" si="468"/>
        <v>13402</v>
      </c>
      <c r="AT127" s="9">
        <f t="shared" si="468"/>
        <v>15279</v>
      </c>
      <c r="AU127" s="9">
        <f t="shared" si="468"/>
        <v>12652</v>
      </c>
      <c r="AV127" s="9">
        <f t="shared" si="468"/>
        <v>12805</v>
      </c>
      <c r="AW127" s="9">
        <f t="shared" si="468"/>
        <v>18102</v>
      </c>
      <c r="AX127" s="9">
        <f t="shared" si="468"/>
        <v>14731</v>
      </c>
      <c r="AY127" s="9">
        <f t="shared" si="468"/>
        <v>12081</v>
      </c>
      <c r="AZ127" s="9">
        <f t="shared" si="468"/>
        <v>13895</v>
      </c>
      <c r="BA127" s="9">
        <f t="shared" si="468"/>
        <v>14199</v>
      </c>
      <c r="BB127" s="9">
        <f t="shared" si="468"/>
        <v>14543</v>
      </c>
      <c r="BC127" s="7"/>
      <c r="BD127" s="7"/>
      <c r="BE127" s="7"/>
      <c r="BF127" s="7"/>
      <c r="BG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3"/>
      <c r="BX127" s="3"/>
      <c r="BY127" s="3"/>
      <c r="CA127" s="3"/>
      <c r="CB127" s="3"/>
      <c r="CC127" s="8">
        <f t="shared" ref="CC127:CL128" si="469">R127/N127-1</f>
        <v>-0.28695932859909623</v>
      </c>
      <c r="CD127" s="8">
        <f t="shared" si="469"/>
        <v>-0.27887600065348794</v>
      </c>
      <c r="CE127" s="8">
        <f t="shared" si="469"/>
        <v>0.40006489292667102</v>
      </c>
      <c r="CF127" s="8">
        <f t="shared" si="469"/>
        <v>0.45616486203283269</v>
      </c>
      <c r="CG127" s="8">
        <f t="shared" si="469"/>
        <v>2.411045722046175</v>
      </c>
      <c r="CH127" s="8">
        <f t="shared" si="469"/>
        <v>-5.0521069324875434E-2</v>
      </c>
      <c r="CI127" s="8">
        <f t="shared" si="469"/>
        <v>0.56083429895712622</v>
      </c>
      <c r="CJ127" s="8">
        <f t="shared" si="469"/>
        <v>0.41017030462940762</v>
      </c>
      <c r="CK127" s="8">
        <f t="shared" si="469"/>
        <v>-0.27843397478433973</v>
      </c>
      <c r="CL127" s="8">
        <f t="shared" si="469"/>
        <v>0.36912431400620371</v>
      </c>
      <c r="CM127" s="8">
        <f t="shared" ref="CM127:CV128" si="470">AB127/X127-1</f>
        <v>0.33496659242761684</v>
      </c>
      <c r="CN127" s="8">
        <f t="shared" si="470"/>
        <v>8.1476441571695757E-2</v>
      </c>
      <c r="CO127" s="8">
        <f t="shared" si="470"/>
        <v>0.22015817546441041</v>
      </c>
      <c r="CP127" s="8">
        <f t="shared" si="470"/>
        <v>0.44998257232485184</v>
      </c>
      <c r="CQ127" s="8">
        <f t="shared" si="470"/>
        <v>-0.28617506395284176</v>
      </c>
      <c r="CR127" s="8">
        <f t="shared" si="470"/>
        <v>0.17175212330921674</v>
      </c>
      <c r="CS127" s="8">
        <f t="shared" si="470"/>
        <v>2.3005728067530899</v>
      </c>
      <c r="CT127" s="8">
        <f t="shared" si="470"/>
        <v>1.2254807692307694</v>
      </c>
      <c r="CU127" s="8">
        <f t="shared" si="470"/>
        <v>1.4884699283265816</v>
      </c>
      <c r="CV127" s="8">
        <f t="shared" si="470"/>
        <v>1.6297986577181209</v>
      </c>
      <c r="CW127" s="8">
        <f t="shared" ref="CW127:DF128" si="471">AL127/AH127-1</f>
        <v>8.357690902447934E-2</v>
      </c>
      <c r="CX127" s="8">
        <f t="shared" si="471"/>
        <v>-1.7822423849643498E-2</v>
      </c>
      <c r="CY127" s="8">
        <f t="shared" si="471"/>
        <v>0.22897752175818664</v>
      </c>
      <c r="CZ127" s="8">
        <f t="shared" si="471"/>
        <v>0.11964066966108611</v>
      </c>
      <c r="DA127" s="8">
        <f t="shared" si="471"/>
        <v>-0.16167917053021996</v>
      </c>
      <c r="DB127" s="8">
        <f t="shared" si="471"/>
        <v>0.14230726932805449</v>
      </c>
      <c r="DC127" s="8">
        <f t="shared" si="471"/>
        <v>-0.29865498267780721</v>
      </c>
      <c r="DD127" s="8">
        <f t="shared" si="471"/>
        <v>-0.38904084609773892</v>
      </c>
      <c r="DE127" s="8">
        <f t="shared" si="471"/>
        <v>-0.2318250377073906</v>
      </c>
      <c r="DF127" s="8">
        <f t="shared" si="471"/>
        <v>-0.39096948108212193</v>
      </c>
      <c r="DG127" s="8">
        <f t="shared" ref="DG127:DL128" si="472">AV127/AR127-1</f>
        <v>-6.9809676013366295E-2</v>
      </c>
      <c r="DH127" s="8">
        <f t="shared" si="472"/>
        <v>0.35069392627965978</v>
      </c>
      <c r="DI127" s="8">
        <f t="shared" si="472"/>
        <v>-3.5866221611361992E-2</v>
      </c>
      <c r="DJ127" s="8">
        <f t="shared" si="472"/>
        <v>-4.5131204552639859E-2</v>
      </c>
      <c r="DK127" s="8">
        <f t="shared" si="472"/>
        <v>8.5122998828582652E-2</v>
      </c>
      <c r="DL127" s="8">
        <f t="shared" si="472"/>
        <v>-0.21561153463705673</v>
      </c>
    </row>
    <row r="128" spans="2:116">
      <c r="B128" s="95" t="s">
        <v>857</v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243">
        <f t="shared" ref="N128:U128" si="473">SUM(N123:N127)</f>
        <v>258255</v>
      </c>
      <c r="O128" s="243">
        <f t="shared" si="473"/>
        <v>255011</v>
      </c>
      <c r="P128" s="243">
        <f t="shared" si="473"/>
        <v>266853</v>
      </c>
      <c r="Q128" s="243">
        <f t="shared" si="473"/>
        <v>266953</v>
      </c>
      <c r="R128" s="243">
        <f t="shared" si="473"/>
        <v>301133</v>
      </c>
      <c r="S128" s="243">
        <f t="shared" si="473"/>
        <v>294119</v>
      </c>
      <c r="T128" s="243">
        <f t="shared" si="473"/>
        <v>301657</v>
      </c>
      <c r="U128" s="243">
        <f t="shared" si="473"/>
        <v>307130</v>
      </c>
      <c r="V128" s="243">
        <f>SUM(V123:V127)</f>
        <v>338009</v>
      </c>
      <c r="W128" s="243">
        <v>340231</v>
      </c>
      <c r="X128" s="243">
        <f>SUM(X123:X127)</f>
        <v>351650</v>
      </c>
      <c r="Y128" s="243">
        <v>353290</v>
      </c>
      <c r="Z128" s="243">
        <v>378202</v>
      </c>
      <c r="AA128" s="243">
        <v>370915</v>
      </c>
      <c r="AB128" s="243">
        <v>392906</v>
      </c>
      <c r="AC128" s="243">
        <f>407284</f>
        <v>407284</v>
      </c>
      <c r="AD128" s="243">
        <v>461795</v>
      </c>
      <c r="AE128" s="243">
        <f>AE133</f>
        <v>419820</v>
      </c>
      <c r="AF128" s="243">
        <f>AF133</f>
        <v>407058</v>
      </c>
      <c r="AG128" s="243">
        <f>AG133</f>
        <v>405881</v>
      </c>
      <c r="AH128" s="243">
        <v>431294</v>
      </c>
      <c r="AI128" s="243">
        <v>433347</v>
      </c>
      <c r="AJ128" s="243">
        <v>436764</v>
      </c>
      <c r="AK128" s="243">
        <v>448650</v>
      </c>
      <c r="AL128" s="243">
        <v>474103</v>
      </c>
      <c r="AM128" s="243">
        <v>461310</v>
      </c>
      <c r="AN128" s="243">
        <v>459001</v>
      </c>
      <c r="AO128" s="243">
        <v>470170</v>
      </c>
      <c r="AP128" s="243">
        <f>496821-11300</f>
        <v>485521</v>
      </c>
      <c r="AQ128" s="243">
        <v>477025</v>
      </c>
      <c r="AR128" s="243">
        <v>481350</v>
      </c>
      <c r="AS128" s="243">
        <v>483018</v>
      </c>
      <c r="AT128" s="243">
        <v>513777</v>
      </c>
      <c r="AU128" s="243">
        <v>463539</v>
      </c>
      <c r="AV128" s="243">
        <v>468539</v>
      </c>
      <c r="AW128" s="243">
        <v>483441</v>
      </c>
      <c r="AX128" s="243">
        <v>507441</v>
      </c>
      <c r="AY128" s="243">
        <v>474785</v>
      </c>
      <c r="AZ128" s="243">
        <v>485439</v>
      </c>
      <c r="BA128" s="243">
        <v>498488</v>
      </c>
      <c r="BB128" s="308">
        <f>738832-201000-6600</f>
        <v>531232</v>
      </c>
      <c r="BC128" s="243"/>
      <c r="BD128" s="243"/>
      <c r="BE128" s="243"/>
      <c r="BF128" s="243"/>
      <c r="BG128" s="243"/>
      <c r="BL128" s="243"/>
      <c r="BM128" s="243"/>
      <c r="BN128" s="243"/>
      <c r="BO128" s="243"/>
      <c r="BP128" s="243"/>
      <c r="BQ128" s="243"/>
      <c r="BR128" s="243"/>
      <c r="BS128" s="243"/>
      <c r="BT128" s="243"/>
      <c r="BU128" s="243"/>
      <c r="BV128" s="243"/>
      <c r="BW128" s="242"/>
      <c r="BX128" s="242"/>
      <c r="BY128" s="242"/>
      <c r="CA128" s="242"/>
      <c r="CB128" s="242"/>
      <c r="CC128" s="242">
        <f t="shared" si="469"/>
        <v>0.16602969932818334</v>
      </c>
      <c r="CD128" s="242">
        <f t="shared" si="469"/>
        <v>0.15335809043531445</v>
      </c>
      <c r="CE128" s="242">
        <f t="shared" si="469"/>
        <v>0.13042386632340652</v>
      </c>
      <c r="CF128" s="242">
        <f t="shared" si="469"/>
        <v>0.15050214831824338</v>
      </c>
      <c r="CG128" s="242">
        <f t="shared" si="469"/>
        <v>0.12245751877077571</v>
      </c>
      <c r="CH128" s="242">
        <f t="shared" si="469"/>
        <v>0.15678007881163736</v>
      </c>
      <c r="CI128" s="242">
        <f t="shared" si="469"/>
        <v>0.1657279625534962</v>
      </c>
      <c r="CJ128" s="242">
        <f t="shared" si="469"/>
        <v>0.15029466349754173</v>
      </c>
      <c r="CK128" s="242">
        <f t="shared" si="469"/>
        <v>0.1189110349132716</v>
      </c>
      <c r="CL128" s="242">
        <f t="shared" si="469"/>
        <v>9.0185785539824481E-2</v>
      </c>
      <c r="CM128" s="242">
        <f t="shared" si="470"/>
        <v>0.11732120005687463</v>
      </c>
      <c r="CN128" s="242">
        <f t="shared" si="470"/>
        <v>0.15283195108834113</v>
      </c>
      <c r="CO128" s="242">
        <f t="shared" si="470"/>
        <v>0.22102738748076423</v>
      </c>
      <c r="CP128" s="242">
        <f t="shared" si="470"/>
        <v>0.13184961514093518</v>
      </c>
      <c r="CQ128" s="242">
        <f t="shared" si="470"/>
        <v>3.601879329916069E-2</v>
      </c>
      <c r="CR128" s="242">
        <f t="shared" si="470"/>
        <v>-3.4447707250959692E-3</v>
      </c>
      <c r="CS128" s="242">
        <f t="shared" si="470"/>
        <v>-6.6048787882068916E-2</v>
      </c>
      <c r="CT128" s="242">
        <f t="shared" si="470"/>
        <v>3.222095183650131E-2</v>
      </c>
      <c r="CU128" s="242">
        <f t="shared" si="470"/>
        <v>7.2977315272025223E-2</v>
      </c>
      <c r="CV128" s="242">
        <f t="shared" si="470"/>
        <v>0.10537324979489071</v>
      </c>
      <c r="CW128" s="242">
        <f t="shared" si="471"/>
        <v>9.9257119273627792E-2</v>
      </c>
      <c r="CX128" s="242">
        <f t="shared" si="471"/>
        <v>6.4527964887261202E-2</v>
      </c>
      <c r="CY128" s="242">
        <f t="shared" si="471"/>
        <v>5.0913078916760446E-2</v>
      </c>
      <c r="CZ128" s="242">
        <f t="shared" si="471"/>
        <v>4.7966120583974092E-2</v>
      </c>
      <c r="DA128" s="242">
        <f t="shared" si="471"/>
        <v>2.4083374287865666E-2</v>
      </c>
      <c r="DB128" s="242">
        <f t="shared" si="471"/>
        <v>3.4066029351195404E-2</v>
      </c>
      <c r="DC128" s="242">
        <f t="shared" si="471"/>
        <v>4.8690525728702028E-2</v>
      </c>
      <c r="DD128" s="242">
        <f t="shared" si="471"/>
        <v>2.7326286236893038E-2</v>
      </c>
      <c r="DE128" s="242">
        <f t="shared" si="471"/>
        <v>5.8197276739831993E-2</v>
      </c>
      <c r="DF128" s="242">
        <f t="shared" si="471"/>
        <v>-2.8271054976154342E-2</v>
      </c>
      <c r="DG128" s="242">
        <f t="shared" si="472"/>
        <v>-2.6614729406876481E-2</v>
      </c>
      <c r="DH128" s="242">
        <f t="shared" si="472"/>
        <v>8.7574376110199914E-4</v>
      </c>
      <c r="DI128" s="242">
        <f t="shared" si="472"/>
        <v>-1.233219859978163E-2</v>
      </c>
      <c r="DJ128" s="242">
        <f t="shared" si="472"/>
        <v>2.4261173277760895E-2</v>
      </c>
      <c r="DK128" s="242">
        <f t="shared" si="472"/>
        <v>3.6069569448861305E-2</v>
      </c>
      <c r="DL128" s="242">
        <f t="shared" si="472"/>
        <v>3.1124790822458115E-2</v>
      </c>
    </row>
    <row r="129" spans="2:118">
      <c r="B129" s="3" t="s">
        <v>694</v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7">
        <f t="shared" ref="N129:AF129" si="474">N128-N16</f>
        <v>80834.700000000012</v>
      </c>
      <c r="O129" s="7">
        <f t="shared" si="474"/>
        <v>74934.799999999988</v>
      </c>
      <c r="P129" s="7">
        <f t="shared" si="474"/>
        <v>76245</v>
      </c>
      <c r="Q129" s="7">
        <f t="shared" si="474"/>
        <v>73247.200000000012</v>
      </c>
      <c r="R129" s="7">
        <f t="shared" si="474"/>
        <v>85481.299999999988</v>
      </c>
      <c r="S129" s="7">
        <f t="shared" si="474"/>
        <v>79302.950000000012</v>
      </c>
      <c r="T129" s="7">
        <f t="shared" si="474"/>
        <v>81905.649999999994</v>
      </c>
      <c r="U129" s="7">
        <f t="shared" si="474"/>
        <v>79830.5</v>
      </c>
      <c r="V129" s="7">
        <f t="shared" si="474"/>
        <v>95694.200000000012</v>
      </c>
      <c r="W129" s="7">
        <f t="shared" si="474"/>
        <v>90341.799999999988</v>
      </c>
      <c r="X129" s="7">
        <f t="shared" si="474"/>
        <v>96352.85</v>
      </c>
      <c r="Y129" s="7">
        <f t="shared" si="474"/>
        <v>93184</v>
      </c>
      <c r="Z129" s="7">
        <f t="shared" si="474"/>
        <v>102257.20000000001</v>
      </c>
      <c r="AA129" s="7">
        <f t="shared" si="474"/>
        <v>97688.5</v>
      </c>
      <c r="AB129" s="7">
        <f t="shared" si="474"/>
        <v>116165.90000000002</v>
      </c>
      <c r="AC129" s="7">
        <f t="shared" si="474"/>
        <v>125902</v>
      </c>
      <c r="AD129" s="7">
        <f t="shared" si="474"/>
        <v>167133.5</v>
      </c>
      <c r="AE129" s="7">
        <f t="shared" si="474"/>
        <v>153202.79999999999</v>
      </c>
      <c r="AF129" s="7">
        <f t="shared" si="474"/>
        <v>153003.29999999999</v>
      </c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8"/>
      <c r="AR129" s="8"/>
      <c r="AS129" s="8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242"/>
      <c r="BX129" s="242"/>
      <c r="BY129" s="242"/>
      <c r="CA129" s="242"/>
      <c r="CB129" s="242"/>
      <c r="CC129" s="8">
        <f t="shared" ref="CC129:CQ129" si="475">R129/N129-1</f>
        <v>5.7482739467084931E-2</v>
      </c>
      <c r="CD129" s="8">
        <f t="shared" si="475"/>
        <v>5.8292675766133062E-2</v>
      </c>
      <c r="CE129" s="8">
        <f t="shared" si="475"/>
        <v>7.4242901173847464E-2</v>
      </c>
      <c r="CF129" s="8">
        <f t="shared" si="475"/>
        <v>8.9877838333751736E-2</v>
      </c>
      <c r="CG129" s="8">
        <f t="shared" si="475"/>
        <v>0.11947525365196854</v>
      </c>
      <c r="CH129" s="8">
        <f t="shared" si="475"/>
        <v>0.13919847874511571</v>
      </c>
      <c r="CI129" s="8">
        <f t="shared" si="475"/>
        <v>0.1763883199754841</v>
      </c>
      <c r="CJ129" s="8">
        <f t="shared" si="475"/>
        <v>0.16727316000776637</v>
      </c>
      <c r="CK129" s="8">
        <f t="shared" si="475"/>
        <v>6.8583048920415335E-2</v>
      </c>
      <c r="CL129" s="8">
        <f t="shared" si="475"/>
        <v>8.1321160304532514E-2</v>
      </c>
      <c r="CM129" s="8">
        <f t="shared" si="475"/>
        <v>0.20563013963780019</v>
      </c>
      <c r="CN129" s="8">
        <f t="shared" si="475"/>
        <v>0.35111177884615374</v>
      </c>
      <c r="CO129" s="8">
        <f t="shared" si="475"/>
        <v>0.6344423668944581</v>
      </c>
      <c r="CP129" s="8">
        <f t="shared" si="475"/>
        <v>0.56827876362110175</v>
      </c>
      <c r="CQ129" s="8">
        <f t="shared" si="475"/>
        <v>0.31711027074210207</v>
      </c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</row>
    <row r="130" spans="2:118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8"/>
      <c r="X130" s="8"/>
      <c r="Y130" s="8"/>
      <c r="Z130" s="8"/>
      <c r="AA130" s="8"/>
      <c r="AB130" s="8"/>
      <c r="AC130" s="8"/>
      <c r="AD130" s="8"/>
      <c r="AE130" s="362"/>
      <c r="AF130" s="362"/>
      <c r="AG130" s="362"/>
      <c r="AH130" s="362"/>
      <c r="AI130" s="362"/>
      <c r="AJ130" s="362"/>
      <c r="AK130" s="362"/>
      <c r="AL130" s="362"/>
      <c r="AM130" s="362"/>
      <c r="AN130" s="362"/>
      <c r="AO130" s="362"/>
      <c r="AP130" s="362"/>
      <c r="AQ130" s="362"/>
      <c r="AR130" s="362"/>
      <c r="AS130" s="362"/>
      <c r="AT130" s="362"/>
      <c r="AU130" s="362"/>
      <c r="AV130" s="362"/>
      <c r="AW130" s="362"/>
      <c r="AX130" s="362"/>
      <c r="AY130" s="362"/>
      <c r="AZ130" s="362"/>
      <c r="BA130" s="362"/>
      <c r="BB130" s="362"/>
      <c r="BC130" s="362"/>
      <c r="BD130" s="362"/>
      <c r="BE130" s="362"/>
      <c r="BF130" s="362"/>
      <c r="BG130" s="362"/>
      <c r="BL130" s="362"/>
      <c r="BM130" s="362"/>
      <c r="BN130" s="362"/>
      <c r="BO130" s="362"/>
      <c r="BP130" s="362"/>
      <c r="BQ130" s="362"/>
      <c r="BR130" s="362"/>
      <c r="BS130" s="362"/>
      <c r="BT130" s="362"/>
      <c r="BU130" s="362"/>
      <c r="BV130" s="362"/>
      <c r="BW130" s="3"/>
      <c r="BX130" s="3"/>
      <c r="BY130" s="3"/>
      <c r="CA130" s="3"/>
      <c r="CB130" s="3"/>
      <c r="CC130" s="3"/>
      <c r="CD130" s="3"/>
      <c r="CE130" s="3"/>
      <c r="CF130" s="3"/>
      <c r="CG130" s="3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</row>
    <row r="131" spans="2:118">
      <c r="B131" s="3" t="s">
        <v>715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99">
        <f>W128-W133</f>
        <v>-1837</v>
      </c>
      <c r="X131" s="99">
        <f>X128-X133</f>
        <v>-1271</v>
      </c>
      <c r="Y131" s="99">
        <f>Y128-Y133</f>
        <v>-634</v>
      </c>
      <c r="Z131" s="7">
        <f>Z133-Z128</f>
        <v>17515</v>
      </c>
      <c r="AA131" s="7">
        <f>AA133-AA128</f>
        <v>6731</v>
      </c>
      <c r="AB131" s="7">
        <f>AB133-AB128</f>
        <v>3497</v>
      </c>
      <c r="AC131" s="7">
        <f>AC133-AC128</f>
        <v>802</v>
      </c>
      <c r="AD131" s="7">
        <v>0</v>
      </c>
      <c r="AE131" s="7">
        <v>0</v>
      </c>
      <c r="AF131" s="7">
        <v>0</v>
      </c>
      <c r="AG131" s="7"/>
      <c r="AH131" s="7"/>
      <c r="AI131" s="7"/>
      <c r="AJ131" s="7"/>
      <c r="AK131" s="7"/>
      <c r="AL131" s="7"/>
      <c r="AM131" s="7"/>
      <c r="AN131" s="7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L131" s="5"/>
      <c r="BM131" s="5"/>
      <c r="BN131" s="7"/>
      <c r="BO131" s="7"/>
      <c r="BP131" s="7"/>
      <c r="BQ131" s="7"/>
      <c r="BR131" s="7"/>
      <c r="BS131" s="7"/>
      <c r="BT131" s="7"/>
      <c r="BU131" s="7"/>
      <c r="BV131" s="7"/>
      <c r="BW131" s="3"/>
      <c r="BX131" s="3"/>
      <c r="BY131" s="3"/>
      <c r="CA131" s="3"/>
      <c r="CB131" s="3"/>
      <c r="CC131" s="3"/>
      <c r="CD131" s="3"/>
      <c r="CE131" s="3"/>
      <c r="CF131" s="3"/>
      <c r="CG131" s="3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</row>
    <row r="132" spans="2:118">
      <c r="B132" s="2" t="s">
        <v>732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83"/>
      <c r="X132" s="9">
        <v>275153</v>
      </c>
      <c r="Y132" s="9">
        <f>Y123+Y131</f>
        <v>277422</v>
      </c>
      <c r="Z132" s="9">
        <f>Z123+Z131</f>
        <v>318470</v>
      </c>
      <c r="AA132" s="9">
        <v>302152</v>
      </c>
      <c r="AB132" s="9">
        <v>315698</v>
      </c>
      <c r="AC132" s="9">
        <v>316214</v>
      </c>
      <c r="AD132" s="9">
        <v>337662</v>
      </c>
      <c r="AE132" s="9">
        <v>294622</v>
      </c>
      <c r="AF132" s="9">
        <v>281242</v>
      </c>
      <c r="AG132" s="9">
        <v>278752</v>
      </c>
      <c r="AH132" s="9">
        <v>295917</v>
      </c>
      <c r="AI132" s="9">
        <v>289641</v>
      </c>
      <c r="AJ132" s="9">
        <f t="shared" ref="AJ132:AP132" si="476">AJ123</f>
        <v>289215</v>
      </c>
      <c r="AK132" s="9">
        <f t="shared" si="476"/>
        <v>283088</v>
      </c>
      <c r="AL132" s="9">
        <f t="shared" si="476"/>
        <v>288275</v>
      </c>
      <c r="AM132" s="9">
        <f t="shared" si="476"/>
        <v>278630</v>
      </c>
      <c r="AN132" s="9">
        <f t="shared" si="476"/>
        <v>263676</v>
      </c>
      <c r="AO132" s="9">
        <f t="shared" si="476"/>
        <v>265659</v>
      </c>
      <c r="AP132" s="9">
        <f t="shared" si="476"/>
        <v>274191</v>
      </c>
      <c r="AQ132" s="9">
        <f t="shared" ref="AQ132:AW132" si="477">AQ123</f>
        <v>261267</v>
      </c>
      <c r="AR132" s="9">
        <f t="shared" si="477"/>
        <v>262955</v>
      </c>
      <c r="AS132" s="9">
        <f t="shared" si="477"/>
        <v>256358</v>
      </c>
      <c r="AT132" s="9">
        <f t="shared" si="477"/>
        <v>269803</v>
      </c>
      <c r="AU132" s="9">
        <f t="shared" si="477"/>
        <v>251474</v>
      </c>
      <c r="AV132" s="9">
        <f t="shared" si="477"/>
        <v>250034</v>
      </c>
      <c r="AW132" s="9">
        <f t="shared" si="477"/>
        <v>243242</v>
      </c>
      <c r="AX132" s="9">
        <f t="shared" ref="AX132:BA132" si="478">AX123</f>
        <v>256929</v>
      </c>
      <c r="AY132" s="9">
        <f t="shared" si="478"/>
        <v>240579</v>
      </c>
      <c r="AZ132" s="9">
        <f t="shared" si="478"/>
        <v>231029</v>
      </c>
      <c r="BA132" s="9">
        <f t="shared" si="478"/>
        <v>237446</v>
      </c>
      <c r="BB132" s="9">
        <f t="shared" ref="BB132:BF132" si="479">BB123</f>
        <v>241423</v>
      </c>
      <c r="BC132" s="9">
        <f t="shared" si="479"/>
        <v>243810</v>
      </c>
      <c r="BD132" s="9">
        <f t="shared" si="479"/>
        <v>224752</v>
      </c>
      <c r="BE132" s="9">
        <f t="shared" si="479"/>
        <v>262294</v>
      </c>
      <c r="BF132" s="9">
        <f t="shared" si="479"/>
        <v>285575</v>
      </c>
      <c r="BG132" s="9">
        <f t="shared" ref="BG132:BR132" si="480">BG123</f>
        <v>281463</v>
      </c>
      <c r="BH132" s="9">
        <f t="shared" si="480"/>
        <v>297419</v>
      </c>
      <c r="BI132" s="9">
        <f t="shared" si="480"/>
        <v>296919</v>
      </c>
      <c r="BJ132" s="9">
        <f t="shared" si="480"/>
        <v>311886</v>
      </c>
      <c r="BK132" s="9">
        <f t="shared" si="480"/>
        <v>292493</v>
      </c>
      <c r="BL132" s="9">
        <f t="shared" si="480"/>
        <v>301546</v>
      </c>
      <c r="BM132" s="9">
        <f t="shared" si="480"/>
        <v>283992</v>
      </c>
      <c r="BN132" s="9">
        <f t="shared" si="480"/>
        <v>288835</v>
      </c>
      <c r="BO132" s="9">
        <f t="shared" si="480"/>
        <v>289615</v>
      </c>
      <c r="BP132" s="9">
        <f t="shared" si="480"/>
        <v>283897</v>
      </c>
      <c r="BQ132" s="9">
        <f t="shared" si="480"/>
        <v>278230</v>
      </c>
      <c r="BR132" s="9">
        <f t="shared" si="480"/>
        <v>309269</v>
      </c>
      <c r="BS132" s="7"/>
      <c r="BT132" s="7"/>
      <c r="BU132" s="7"/>
      <c r="BV132" s="7"/>
      <c r="BW132" s="3"/>
      <c r="BX132" s="3"/>
      <c r="BY132" s="3"/>
      <c r="CA132" s="3"/>
      <c r="CB132" s="3"/>
      <c r="CC132" s="3"/>
      <c r="CD132" s="3"/>
      <c r="CE132" s="3"/>
      <c r="CF132" s="3"/>
      <c r="CG132" s="3"/>
      <c r="CH132" s="8"/>
      <c r="CI132" s="8"/>
      <c r="CJ132" s="8"/>
      <c r="CK132" s="8"/>
      <c r="CL132" s="8"/>
      <c r="CM132" s="8">
        <f t="shared" ref="CM132:CV134" si="481">AB132/X132-1</f>
        <v>0.14735438101710674</v>
      </c>
      <c r="CN132" s="8">
        <f t="shared" si="481"/>
        <v>0.13983029464137675</v>
      </c>
      <c r="CO132" s="8">
        <f t="shared" si="481"/>
        <v>6.0263133105159072E-2</v>
      </c>
      <c r="CP132" s="8">
        <f t="shared" si="481"/>
        <v>-2.492123169795335E-2</v>
      </c>
      <c r="CQ132" s="8">
        <f t="shared" si="481"/>
        <v>-0.1091422815475549</v>
      </c>
      <c r="CR132" s="8">
        <f t="shared" si="481"/>
        <v>-0.11847040295496092</v>
      </c>
      <c r="CS132" s="8">
        <f t="shared" si="481"/>
        <v>-0.12362954670646975</v>
      </c>
      <c r="CT132" s="8">
        <f t="shared" si="481"/>
        <v>-1.6906408890035363E-2</v>
      </c>
      <c r="CU132" s="8">
        <f t="shared" si="481"/>
        <v>2.8349250823134442E-2</v>
      </c>
      <c r="CV132" s="8">
        <f t="shared" si="481"/>
        <v>1.5555045344966212E-2</v>
      </c>
      <c r="CW132" s="8">
        <f t="shared" ref="CW132:DF134" si="482">AL132/AH132-1</f>
        <v>-2.5824808983600178E-2</v>
      </c>
      <c r="CX132" s="8">
        <f t="shared" si="482"/>
        <v>-3.8016026736546249E-2</v>
      </c>
      <c r="CY132" s="8">
        <f t="shared" si="482"/>
        <v>-8.8304548519267723E-2</v>
      </c>
      <c r="CZ132" s="8">
        <f t="shared" si="482"/>
        <v>-6.1567427796303642E-2</v>
      </c>
      <c r="DA132" s="8">
        <f t="shared" si="482"/>
        <v>-4.8856126962102175E-2</v>
      </c>
      <c r="DB132" s="8">
        <f t="shared" si="482"/>
        <v>-6.2315615691059811E-2</v>
      </c>
      <c r="DC132" s="8">
        <f t="shared" si="482"/>
        <v>-2.7344164808325022E-3</v>
      </c>
      <c r="DD132" s="8">
        <f t="shared" si="482"/>
        <v>-3.5011047997621003E-2</v>
      </c>
      <c r="DE132" s="8">
        <f t="shared" si="482"/>
        <v>-1.6003442855527683E-2</v>
      </c>
      <c r="DF132" s="8">
        <f t="shared" si="482"/>
        <v>-3.7482728396621035E-2</v>
      </c>
      <c r="DG132" s="8">
        <f t="shared" ref="DG132:DL134" si="483">AV132/AR132-1</f>
        <v>-4.913768515525474E-2</v>
      </c>
      <c r="DH132" s="8">
        <f t="shared" si="483"/>
        <v>-5.116282698413932E-2</v>
      </c>
      <c r="DI132" s="8">
        <f t="shared" si="483"/>
        <v>-4.7716296705373917E-2</v>
      </c>
      <c r="DJ132" s="8">
        <f t="shared" si="483"/>
        <v>-4.3324558403652014E-2</v>
      </c>
      <c r="DK132" s="8">
        <f t="shared" si="483"/>
        <v>-7.6009662685874724E-2</v>
      </c>
      <c r="DL132" s="8">
        <f t="shared" si="483"/>
        <v>-2.3828121788178058E-2</v>
      </c>
    </row>
    <row r="133" spans="2:118">
      <c r="B133" s="95" t="s">
        <v>858</v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243">
        <v>342068</v>
      </c>
      <c r="X133" s="243">
        <v>352921</v>
      </c>
      <c r="Y133" s="243">
        <v>353924</v>
      </c>
      <c r="Z133" s="243">
        <v>395717</v>
      </c>
      <c r="AA133" s="243">
        <v>377646</v>
      </c>
      <c r="AB133" s="243">
        <v>396403</v>
      </c>
      <c r="AC133" s="243">
        <f>408086</f>
        <v>408086</v>
      </c>
      <c r="AD133" s="243">
        <v>461795</v>
      </c>
      <c r="AE133" s="308">
        <f>423820-4000</f>
        <v>419820</v>
      </c>
      <c r="AF133" s="243">
        <v>407058</v>
      </c>
      <c r="AG133" s="243">
        <v>405881</v>
      </c>
      <c r="AH133" s="243">
        <v>431294</v>
      </c>
      <c r="AI133" s="243">
        <f t="shared" ref="AI133:AP133" si="484">AI128</f>
        <v>433347</v>
      </c>
      <c r="AJ133" s="243">
        <f t="shared" si="484"/>
        <v>436764</v>
      </c>
      <c r="AK133" s="243">
        <f t="shared" si="484"/>
        <v>448650</v>
      </c>
      <c r="AL133" s="243">
        <f t="shared" si="484"/>
        <v>474103</v>
      </c>
      <c r="AM133" s="243">
        <f t="shared" si="484"/>
        <v>461310</v>
      </c>
      <c r="AN133" s="243">
        <f t="shared" si="484"/>
        <v>459001</v>
      </c>
      <c r="AO133" s="243">
        <f t="shared" si="484"/>
        <v>470170</v>
      </c>
      <c r="AP133" s="243">
        <f t="shared" si="484"/>
        <v>485521</v>
      </c>
      <c r="AQ133" s="243">
        <f t="shared" ref="AQ133:AT133" si="485">AQ128</f>
        <v>477025</v>
      </c>
      <c r="AR133" s="243">
        <f t="shared" si="485"/>
        <v>481350</v>
      </c>
      <c r="AS133" s="243">
        <f t="shared" si="485"/>
        <v>483018</v>
      </c>
      <c r="AT133" s="243">
        <f t="shared" si="485"/>
        <v>513777</v>
      </c>
      <c r="AU133" s="243">
        <v>476677</v>
      </c>
      <c r="AV133" s="243">
        <f>AV128</f>
        <v>468539</v>
      </c>
      <c r="AW133" s="243">
        <f>AW128</f>
        <v>483441</v>
      </c>
      <c r="AX133" s="243">
        <f>AX128</f>
        <v>507441</v>
      </c>
      <c r="AY133" s="243">
        <v>474785</v>
      </c>
      <c r="AZ133" s="243">
        <v>485439</v>
      </c>
      <c r="BA133" s="243">
        <f>BA128</f>
        <v>498488</v>
      </c>
      <c r="BB133" s="243">
        <f>BB128</f>
        <v>531232</v>
      </c>
      <c r="BC133" s="243"/>
      <c r="BD133" s="243"/>
      <c r="BE133" s="243"/>
      <c r="BF133" s="243"/>
      <c r="BG133" s="243"/>
      <c r="BH133" s="243"/>
      <c r="BI133" s="243"/>
      <c r="BJ133" s="243"/>
      <c r="BK133" s="243"/>
      <c r="BL133" s="243"/>
      <c r="BM133" s="243"/>
      <c r="BN133" s="243"/>
      <c r="BO133" s="243"/>
      <c r="BP133" s="243"/>
      <c r="BQ133" s="243"/>
      <c r="BR133" s="243"/>
      <c r="BS133" s="243"/>
      <c r="BT133" s="243"/>
      <c r="BU133" s="243"/>
      <c r="BV133" s="243"/>
      <c r="BW133" s="3"/>
      <c r="BX133" s="3"/>
      <c r="BY133" s="3"/>
      <c r="CA133" s="3"/>
      <c r="CB133" s="3"/>
      <c r="CC133" s="3"/>
      <c r="CD133" s="3"/>
      <c r="CE133" s="3"/>
      <c r="CF133" s="3"/>
      <c r="CG133" s="3"/>
      <c r="CH133" s="8"/>
      <c r="CI133" s="8"/>
      <c r="CJ133" s="8"/>
      <c r="CK133" s="8"/>
      <c r="CL133" s="242">
        <f>AA133/W133-1</f>
        <v>0.10400855970157985</v>
      </c>
      <c r="CM133" s="242">
        <f t="shared" si="481"/>
        <v>0.12320604327880735</v>
      </c>
      <c r="CN133" s="242">
        <f t="shared" si="481"/>
        <v>0.15303285451113791</v>
      </c>
      <c r="CO133" s="242">
        <f t="shared" si="481"/>
        <v>0.16698297015291241</v>
      </c>
      <c r="CP133" s="242">
        <f t="shared" si="481"/>
        <v>0.11167601404489913</v>
      </c>
      <c r="CQ133" s="242">
        <f t="shared" si="481"/>
        <v>2.6879211307684336E-2</v>
      </c>
      <c r="CR133" s="242">
        <f t="shared" si="481"/>
        <v>-5.4032728395485563E-3</v>
      </c>
      <c r="CS133" s="242">
        <f t="shared" si="481"/>
        <v>-6.6048787882068916E-2</v>
      </c>
      <c r="CT133" s="242">
        <f t="shared" si="481"/>
        <v>3.222095183650131E-2</v>
      </c>
      <c r="CU133" s="242">
        <f t="shared" si="481"/>
        <v>7.2977315272025223E-2</v>
      </c>
      <c r="CV133" s="242">
        <f t="shared" si="481"/>
        <v>0.10537324979489071</v>
      </c>
      <c r="CW133" s="242">
        <f t="shared" si="482"/>
        <v>9.9257119273627792E-2</v>
      </c>
      <c r="CX133" s="242">
        <f t="shared" si="482"/>
        <v>6.4527964887261202E-2</v>
      </c>
      <c r="CY133" s="242">
        <f t="shared" si="482"/>
        <v>5.0913078916760446E-2</v>
      </c>
      <c r="CZ133" s="242">
        <f t="shared" si="482"/>
        <v>4.7966120583974092E-2</v>
      </c>
      <c r="DA133" s="242">
        <f t="shared" si="482"/>
        <v>2.4083374287865666E-2</v>
      </c>
      <c r="DB133" s="242">
        <f t="shared" si="482"/>
        <v>3.4066029351195404E-2</v>
      </c>
      <c r="DC133" s="242">
        <f t="shared" si="482"/>
        <v>4.8690525728702028E-2</v>
      </c>
      <c r="DD133" s="242">
        <f t="shared" si="482"/>
        <v>2.7326286236893038E-2</v>
      </c>
      <c r="DE133" s="242">
        <f t="shared" si="482"/>
        <v>5.8197276739831993E-2</v>
      </c>
      <c r="DF133" s="242">
        <f t="shared" si="482"/>
        <v>-7.2952151354754857E-4</v>
      </c>
      <c r="DG133" s="242">
        <f t="shared" si="483"/>
        <v>-2.6614729406876481E-2</v>
      </c>
      <c r="DH133" s="242">
        <f t="shared" si="483"/>
        <v>8.7574376110199914E-4</v>
      </c>
      <c r="DI133" s="242">
        <f t="shared" si="483"/>
        <v>-1.233219859978163E-2</v>
      </c>
      <c r="DJ133" s="242">
        <f t="shared" si="483"/>
        <v>-3.9691447248346723E-3</v>
      </c>
      <c r="DK133" s="242">
        <f t="shared" si="483"/>
        <v>3.6069569448861305E-2</v>
      </c>
      <c r="DL133" s="242">
        <f t="shared" si="483"/>
        <v>3.1124790822458115E-2</v>
      </c>
    </row>
    <row r="134" spans="2:118">
      <c r="B134" s="3" t="s">
        <v>929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7">
        <f t="shared" ref="W134:AF134" si="486">W133-W126</f>
        <v>342068</v>
      </c>
      <c r="X134" s="7">
        <f t="shared" si="486"/>
        <v>352921</v>
      </c>
      <c r="Y134" s="7">
        <f t="shared" si="486"/>
        <v>353924</v>
      </c>
      <c r="Z134" s="7">
        <f t="shared" si="486"/>
        <v>395717</v>
      </c>
      <c r="AA134" s="7">
        <f t="shared" si="486"/>
        <v>377646</v>
      </c>
      <c r="AB134" s="7">
        <f t="shared" si="486"/>
        <v>396403</v>
      </c>
      <c r="AC134" s="7">
        <f t="shared" si="486"/>
        <v>395928</v>
      </c>
      <c r="AD134" s="7">
        <f t="shared" si="486"/>
        <v>427798</v>
      </c>
      <c r="AE134" s="7">
        <f t="shared" si="486"/>
        <v>384071</v>
      </c>
      <c r="AF134" s="7">
        <f t="shared" si="486"/>
        <v>371564</v>
      </c>
      <c r="AG134" s="7">
        <f t="shared" ref="AG134:AL134" si="487">AG133-AG126</f>
        <v>368759</v>
      </c>
      <c r="AH134" s="7">
        <f t="shared" si="487"/>
        <v>387356</v>
      </c>
      <c r="AI134" s="7">
        <f t="shared" si="487"/>
        <v>384252</v>
      </c>
      <c r="AJ134" s="7">
        <f t="shared" si="487"/>
        <v>385792</v>
      </c>
      <c r="AK134" s="7">
        <f t="shared" si="487"/>
        <v>384855</v>
      </c>
      <c r="AL134" s="7">
        <f t="shared" si="487"/>
        <v>400497</v>
      </c>
      <c r="AM134" s="7">
        <f t="shared" ref="AM134:AQ134" si="488">AM133-AM126</f>
        <v>381788</v>
      </c>
      <c r="AN134" s="7">
        <f t="shared" si="488"/>
        <v>376230</v>
      </c>
      <c r="AO134" s="7">
        <f t="shared" si="488"/>
        <v>380098</v>
      </c>
      <c r="AP134" s="7">
        <f t="shared" si="488"/>
        <v>389592</v>
      </c>
      <c r="AQ134" s="7">
        <f t="shared" si="488"/>
        <v>374787</v>
      </c>
      <c r="AR134" s="7">
        <f t="shared" ref="AR134:AS134" si="489">AR133-AR126</f>
        <v>370043</v>
      </c>
      <c r="AS134" s="7">
        <f t="shared" si="489"/>
        <v>366598</v>
      </c>
      <c r="AT134" s="7">
        <f t="shared" ref="AT134:AU134" si="490">AT133-AT126</f>
        <v>383558</v>
      </c>
      <c r="AU134" s="7">
        <f t="shared" si="490"/>
        <v>369808</v>
      </c>
      <c r="AV134" s="7">
        <f t="shared" ref="AV134:AW134" si="491">AV133-AV126</f>
        <v>358711</v>
      </c>
      <c r="AW134" s="7">
        <f t="shared" si="491"/>
        <v>359262</v>
      </c>
      <c r="AX134" s="7">
        <f t="shared" ref="AX134:AY134" si="492">AX133-AX126</f>
        <v>375380</v>
      </c>
      <c r="AY134" s="7">
        <f t="shared" si="492"/>
        <v>350303</v>
      </c>
      <c r="AZ134" s="7">
        <f t="shared" ref="AZ134:BA134" si="493">AZ133-AZ126</f>
        <v>347401</v>
      </c>
      <c r="BA134" s="7">
        <f t="shared" si="493"/>
        <v>352132</v>
      </c>
      <c r="BB134" s="7">
        <f t="shared" ref="BB134" si="494">BB133-BB126</f>
        <v>360857</v>
      </c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3"/>
      <c r="BX134" s="3"/>
      <c r="BY134" s="3"/>
      <c r="CA134" s="3"/>
      <c r="CB134" s="3"/>
      <c r="CC134" s="3"/>
      <c r="CD134" s="3"/>
      <c r="CE134" s="3"/>
      <c r="CF134" s="3"/>
      <c r="CG134" s="3"/>
      <c r="CH134" s="8"/>
      <c r="CI134" s="8"/>
      <c r="CJ134" s="8"/>
      <c r="CK134" s="8"/>
      <c r="CL134" s="8">
        <f>AA134/W134-1</f>
        <v>0.10400855970157985</v>
      </c>
      <c r="CM134" s="8">
        <f t="shared" si="481"/>
        <v>0.12320604327880735</v>
      </c>
      <c r="CN134" s="8">
        <f t="shared" si="481"/>
        <v>0.11868084673545742</v>
      </c>
      <c r="CO134" s="8">
        <f t="shared" si="481"/>
        <v>8.1070563053899702E-2</v>
      </c>
      <c r="CP134" s="8">
        <f t="shared" si="481"/>
        <v>1.701328757619569E-2</v>
      </c>
      <c r="CQ134" s="8">
        <f t="shared" si="481"/>
        <v>-6.2660978852329574E-2</v>
      </c>
      <c r="CR134" s="8">
        <f t="shared" si="481"/>
        <v>-6.8621062415388678E-2</v>
      </c>
      <c r="CS134" s="8">
        <f t="shared" si="481"/>
        <v>-9.4535271319641567E-2</v>
      </c>
      <c r="CT134" s="8">
        <f t="shared" si="481"/>
        <v>4.7126703135624837E-4</v>
      </c>
      <c r="CU134" s="8">
        <f t="shared" si="481"/>
        <v>3.829219192386768E-2</v>
      </c>
      <c r="CV134" s="8">
        <f t="shared" si="481"/>
        <v>4.3649104157457819E-2</v>
      </c>
      <c r="CW134" s="8">
        <f t="shared" si="482"/>
        <v>3.392486498208358E-2</v>
      </c>
      <c r="CX134" s="8">
        <f t="shared" si="482"/>
        <v>-6.4124584907820914E-3</v>
      </c>
      <c r="CY134" s="8">
        <f t="shared" si="482"/>
        <v>-2.478537657597879E-2</v>
      </c>
      <c r="CZ134" s="8">
        <f t="shared" si="482"/>
        <v>-1.2360499408868297E-2</v>
      </c>
      <c r="DA134" s="8">
        <f t="shared" si="482"/>
        <v>-2.7228668379538412E-2</v>
      </c>
      <c r="DB134" s="8">
        <f t="shared" si="482"/>
        <v>-1.8337401908912754E-2</v>
      </c>
      <c r="DC134" s="8">
        <f t="shared" si="482"/>
        <v>-1.6444727958961236E-2</v>
      </c>
      <c r="DD134" s="8">
        <f t="shared" si="482"/>
        <v>-3.5517156101847469E-2</v>
      </c>
      <c r="DE134" s="8">
        <f t="shared" si="482"/>
        <v>-1.5487997700158074E-2</v>
      </c>
      <c r="DF134" s="8">
        <f t="shared" si="482"/>
        <v>-1.3284879144687567E-2</v>
      </c>
      <c r="DG134" s="8">
        <f t="shared" si="483"/>
        <v>-3.0623468083438965E-2</v>
      </c>
      <c r="DH134" s="8">
        <f t="shared" si="483"/>
        <v>-2.0011020245609634E-2</v>
      </c>
      <c r="DI134" s="8">
        <f t="shared" si="483"/>
        <v>-2.1321416839174212E-2</v>
      </c>
      <c r="DJ134" s="8">
        <f t="shared" si="483"/>
        <v>-5.2743585860770992E-2</v>
      </c>
      <c r="DK134" s="8">
        <f t="shared" si="483"/>
        <v>-3.152956000791729E-2</v>
      </c>
      <c r="DL134" s="8">
        <f t="shared" si="483"/>
        <v>-1.9846240348269539E-2</v>
      </c>
    </row>
    <row r="135" spans="2:118">
      <c r="B135" s="3" t="s">
        <v>63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8"/>
      <c r="X135" s="8"/>
      <c r="Y135" s="8"/>
      <c r="Z135" s="8"/>
      <c r="AA135" s="8"/>
      <c r="AB135" s="8"/>
      <c r="AC135" s="8">
        <f t="shared" ref="AC135:BB135" si="495">AC134/Y134-1</f>
        <v>0.11868084673545742</v>
      </c>
      <c r="AD135" s="8">
        <f t="shared" si="495"/>
        <v>8.1070563053899702E-2</v>
      </c>
      <c r="AE135" s="8">
        <f t="shared" si="495"/>
        <v>1.701328757619569E-2</v>
      </c>
      <c r="AF135" s="8">
        <f t="shared" si="495"/>
        <v>-6.2660978852329574E-2</v>
      </c>
      <c r="AG135" s="8">
        <f t="shared" si="495"/>
        <v>-6.8621062415388678E-2</v>
      </c>
      <c r="AH135" s="8">
        <f t="shared" si="495"/>
        <v>-9.4535271319641567E-2</v>
      </c>
      <c r="AI135" s="8">
        <f t="shared" si="495"/>
        <v>4.7126703135624837E-4</v>
      </c>
      <c r="AJ135" s="8">
        <f t="shared" si="495"/>
        <v>3.829219192386768E-2</v>
      </c>
      <c r="AK135" s="8">
        <f t="shared" si="495"/>
        <v>4.3649104157457819E-2</v>
      </c>
      <c r="AL135" s="8">
        <f t="shared" si="495"/>
        <v>3.392486498208358E-2</v>
      </c>
      <c r="AM135" s="8">
        <f t="shared" si="495"/>
        <v>-6.4124584907820914E-3</v>
      </c>
      <c r="AN135" s="8">
        <f t="shared" si="495"/>
        <v>-2.478537657597879E-2</v>
      </c>
      <c r="AO135" s="8">
        <f t="shared" si="495"/>
        <v>-1.2360499408868297E-2</v>
      </c>
      <c r="AP135" s="8">
        <f t="shared" si="495"/>
        <v>-2.7228668379538412E-2</v>
      </c>
      <c r="AQ135" s="8">
        <f t="shared" si="495"/>
        <v>-1.8337401908912754E-2</v>
      </c>
      <c r="AR135" s="8">
        <f t="shared" si="495"/>
        <v>-1.6444727958961236E-2</v>
      </c>
      <c r="AS135" s="8">
        <f t="shared" si="495"/>
        <v>-3.5517156101847469E-2</v>
      </c>
      <c r="AT135" s="8">
        <f t="shared" si="495"/>
        <v>-1.5487997700158074E-2</v>
      </c>
      <c r="AU135" s="8">
        <f t="shared" si="495"/>
        <v>-1.3284879144687567E-2</v>
      </c>
      <c r="AV135" s="8">
        <f t="shared" si="495"/>
        <v>-3.0623468083438965E-2</v>
      </c>
      <c r="AW135" s="8">
        <f t="shared" si="495"/>
        <v>-2.0011020245609634E-2</v>
      </c>
      <c r="AX135" s="8">
        <f t="shared" si="495"/>
        <v>-2.1321416839174212E-2</v>
      </c>
      <c r="AY135" s="8">
        <f t="shared" si="495"/>
        <v>-5.2743585860770992E-2</v>
      </c>
      <c r="AZ135" s="8">
        <f t="shared" si="495"/>
        <v>-3.152956000791729E-2</v>
      </c>
      <c r="BA135" s="8">
        <f t="shared" si="495"/>
        <v>-1.9846240348269539E-2</v>
      </c>
      <c r="BB135" s="8">
        <f t="shared" si="495"/>
        <v>-3.8688795354041239E-2</v>
      </c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3"/>
      <c r="BX135" s="3"/>
      <c r="BY135" s="3"/>
      <c r="CA135" s="3"/>
      <c r="CB135" s="3"/>
      <c r="CC135" s="3"/>
      <c r="CD135" s="3"/>
      <c r="CE135" s="3"/>
      <c r="CF135" s="3"/>
      <c r="CG135" s="3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</row>
    <row r="136" spans="2:118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3"/>
      <c r="BX136" s="3"/>
      <c r="BY136" s="3"/>
      <c r="CA136" s="3"/>
      <c r="CB136" s="3"/>
      <c r="CC136" s="3"/>
      <c r="CD136" s="3"/>
      <c r="CE136" s="3"/>
      <c r="CF136" s="3"/>
      <c r="CG136" s="3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</row>
    <row r="137" spans="2:118">
      <c r="B137" s="364" t="s">
        <v>1275</v>
      </c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56"/>
      <c r="X137" s="156"/>
      <c r="Y137" s="156"/>
      <c r="Z137" s="156"/>
      <c r="AA137" s="19">
        <f>AA133-AA125-AA126</f>
        <v>372718</v>
      </c>
      <c r="AB137" s="19">
        <f t="shared" ref="AB137:AK137" si="496">AB133-AB125-AB126</f>
        <v>391144</v>
      </c>
      <c r="AC137" s="19">
        <f t="shared" si="496"/>
        <v>390409</v>
      </c>
      <c r="AD137" s="19">
        <f t="shared" si="496"/>
        <v>422112</v>
      </c>
      <c r="AE137" s="19">
        <f t="shared" si="496"/>
        <v>378089</v>
      </c>
      <c r="AF137" s="19">
        <f t="shared" si="496"/>
        <v>365273</v>
      </c>
      <c r="AG137" s="19">
        <f t="shared" si="496"/>
        <v>362018</v>
      </c>
      <c r="AH137" s="19">
        <f t="shared" si="496"/>
        <v>380920</v>
      </c>
      <c r="AI137" s="19">
        <f t="shared" si="496"/>
        <v>377457</v>
      </c>
      <c r="AJ137" s="19">
        <f t="shared" si="496"/>
        <v>379508</v>
      </c>
      <c r="AK137" s="19">
        <f t="shared" si="496"/>
        <v>378200</v>
      </c>
      <c r="AL137" s="19">
        <f t="shared" ref="AL137" si="497">AL133-AL125-AL126</f>
        <v>393852</v>
      </c>
      <c r="AM137" s="19">
        <f t="shared" ref="AM137:AS137" si="498">AM133-AM125-AM126</f>
        <v>375527</v>
      </c>
      <c r="AN137" s="19">
        <f t="shared" si="498"/>
        <v>369990</v>
      </c>
      <c r="AO137" s="19">
        <f t="shared" si="498"/>
        <v>374192</v>
      </c>
      <c r="AP137" s="19">
        <f t="shared" si="498"/>
        <v>383948</v>
      </c>
      <c r="AQ137" s="19">
        <f t="shared" si="498"/>
        <v>369193</v>
      </c>
      <c r="AR137" s="19">
        <f t="shared" si="498"/>
        <v>364188</v>
      </c>
      <c r="AS137" s="19">
        <f t="shared" si="498"/>
        <v>360916</v>
      </c>
      <c r="AT137" s="19">
        <f>AT123+AT124+AT127</f>
        <v>376980</v>
      </c>
      <c r="AU137" s="19">
        <f>AU123+AU124+AU127</f>
        <v>352131</v>
      </c>
      <c r="AV137" s="19">
        <f>AV123+AV124+AV127</f>
        <v>353655</v>
      </c>
      <c r="AW137" s="19">
        <f>AW123+AW124+AW127</f>
        <v>353945</v>
      </c>
      <c r="AX137" s="19">
        <f>AX123+AX124+AX127</f>
        <v>369842</v>
      </c>
      <c r="AY137" s="19">
        <v>340673</v>
      </c>
      <c r="AZ137" s="19">
        <v>338265</v>
      </c>
      <c r="BA137" s="19">
        <f>BA123+BA124+BA127</f>
        <v>346821</v>
      </c>
      <c r="BB137" s="19">
        <f>BB123+BB124+BB127</f>
        <v>354658</v>
      </c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3"/>
      <c r="BX137" s="3"/>
      <c r="BY137" s="3"/>
      <c r="CA137" s="3"/>
      <c r="CB137" s="3"/>
      <c r="CC137" s="3"/>
      <c r="CD137" s="3"/>
      <c r="CE137" s="3"/>
      <c r="CF137" s="3"/>
      <c r="CG137" s="3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>
        <f t="shared" ref="CS137:DL137" si="499">AH137/AD137-1</f>
        <v>-9.7585474945038331E-2</v>
      </c>
      <c r="CT137" s="8">
        <f t="shared" si="499"/>
        <v>-1.6715641026319172E-3</v>
      </c>
      <c r="CU137" s="8">
        <f t="shared" si="499"/>
        <v>3.8970851938139317E-2</v>
      </c>
      <c r="CV137" s="8">
        <f t="shared" si="499"/>
        <v>4.4699434834732044E-2</v>
      </c>
      <c r="CW137" s="8">
        <f t="shared" si="499"/>
        <v>3.3949385697784384E-2</v>
      </c>
      <c r="CX137" s="8">
        <f t="shared" si="499"/>
        <v>-5.1131652082223589E-3</v>
      </c>
      <c r="CY137" s="8">
        <f t="shared" si="499"/>
        <v>-2.5079840214171978E-2</v>
      </c>
      <c r="CZ137" s="8">
        <f t="shared" si="499"/>
        <v>-1.0597567424643017E-2</v>
      </c>
      <c r="DA137" s="8">
        <f t="shared" si="499"/>
        <v>-2.5146501731614923E-2</v>
      </c>
      <c r="DB137" s="8">
        <f t="shared" si="499"/>
        <v>-1.6866962961384901E-2</v>
      </c>
      <c r="DC137" s="8">
        <f t="shared" si="499"/>
        <v>-1.5681504905537991E-2</v>
      </c>
      <c r="DD137" s="8">
        <f t="shared" si="499"/>
        <v>-3.547911232736134E-2</v>
      </c>
      <c r="DE137" s="8">
        <f t="shared" si="499"/>
        <v>-1.8148290914394627E-2</v>
      </c>
      <c r="DF137" s="8">
        <f t="shared" si="499"/>
        <v>-4.6214310672195835E-2</v>
      </c>
      <c r="DG137" s="8">
        <f t="shared" si="499"/>
        <v>-2.8921875514843931E-2</v>
      </c>
      <c r="DH137" s="8">
        <f t="shared" si="499"/>
        <v>-1.9314743596848039E-2</v>
      </c>
      <c r="DI137" s="8">
        <f t="shared" si="499"/>
        <v>-1.8934691495570033E-2</v>
      </c>
      <c r="DJ137" s="8">
        <f t="shared" si="499"/>
        <v>-3.2539026669052173E-2</v>
      </c>
      <c r="DK137" s="8">
        <f t="shared" si="499"/>
        <v>-4.3516986894006848E-2</v>
      </c>
      <c r="DL137" s="8">
        <f t="shared" si="499"/>
        <v>-2.0127420926980166E-2</v>
      </c>
      <c r="DM137" s="8" t="e">
        <f>#REF!/AW137-1</f>
        <v>#REF!</v>
      </c>
      <c r="DN137" s="8" t="e">
        <f>#REF!/AX137-1</f>
        <v>#REF!</v>
      </c>
    </row>
    <row r="138" spans="2:118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3"/>
      <c r="BX138" s="3"/>
      <c r="BY138" s="3"/>
      <c r="CA138" s="3"/>
      <c r="CB138" s="3"/>
      <c r="CC138" s="3"/>
      <c r="CD138" s="3"/>
      <c r="CE138" s="3"/>
      <c r="CF138" s="3"/>
      <c r="CG138" s="3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</row>
    <row r="139" spans="2:118">
      <c r="B139" s="95" t="s">
        <v>725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7"/>
      <c r="BB139" s="7"/>
      <c r="BC139" s="7"/>
      <c r="BD139" s="7"/>
      <c r="BE139" s="7"/>
      <c r="BF139" s="7"/>
      <c r="BG139" s="7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3"/>
      <c r="BX139" s="3"/>
      <c r="BY139" s="3"/>
      <c r="CA139" s="3"/>
      <c r="CB139" s="3"/>
      <c r="CC139" s="3"/>
      <c r="CD139" s="3"/>
      <c r="CE139" s="3"/>
      <c r="CF139" s="3"/>
      <c r="CG139" s="3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</row>
    <row r="140" spans="2:118">
      <c r="B140" s="3" t="s">
        <v>28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7">
        <f t="shared" ref="N140:T140" si="500">N88</f>
        <v>78561</v>
      </c>
      <c r="O140" s="7">
        <f t="shared" si="500"/>
        <v>76066</v>
      </c>
      <c r="P140" s="7">
        <f t="shared" si="500"/>
        <v>80557</v>
      </c>
      <c r="Q140" s="7">
        <f t="shared" si="500"/>
        <v>88792</v>
      </c>
      <c r="R140" s="7">
        <f t="shared" si="500"/>
        <v>88846</v>
      </c>
      <c r="S140" s="7">
        <f t="shared" si="500"/>
        <v>103645</v>
      </c>
      <c r="T140" s="7">
        <f t="shared" si="500"/>
        <v>102973</v>
      </c>
      <c r="U140" s="7">
        <v>106403</v>
      </c>
      <c r="V140" s="7">
        <f ca="1">V88</f>
        <v>85730</v>
      </c>
      <c r="W140" s="7">
        <v>112770</v>
      </c>
      <c r="X140" s="99">
        <f>106164+2900</f>
        <v>109064</v>
      </c>
      <c r="Y140" s="7">
        <f>110959</f>
        <v>110959</v>
      </c>
      <c r="Z140" s="99">
        <f>84781+3200+Z148</f>
        <v>126405</v>
      </c>
      <c r="AA140" s="7">
        <f>AA145-AA144-AA142-AA141</f>
        <v>87617</v>
      </c>
      <c r="AB140" s="7">
        <f>AB145-AB144-AB142-AB141</f>
        <v>78760</v>
      </c>
      <c r="AC140" s="7">
        <f t="shared" ref="AC140:AI140" si="501">AC145-AC144-AC142-AC141-AC143</f>
        <v>90476</v>
      </c>
      <c r="AD140" s="7">
        <f t="shared" si="501"/>
        <v>82346</v>
      </c>
      <c r="AE140" s="7">
        <f t="shared" si="501"/>
        <v>107492</v>
      </c>
      <c r="AF140" s="7">
        <f t="shared" si="501"/>
        <v>103447.99999999999</v>
      </c>
      <c r="AG140" s="7">
        <f t="shared" si="501"/>
        <v>97615</v>
      </c>
      <c r="AH140" s="7">
        <f t="shared" si="501"/>
        <v>98292</v>
      </c>
      <c r="AI140" s="7">
        <f t="shared" si="501"/>
        <v>121313</v>
      </c>
      <c r="AJ140" s="99">
        <f>111986+3500+4700</f>
        <v>120186</v>
      </c>
      <c r="AK140" s="7">
        <v>111537</v>
      </c>
      <c r="AL140" s="7">
        <v>104161</v>
      </c>
      <c r="AM140" s="7">
        <v>118283</v>
      </c>
      <c r="AN140" s="7">
        <v>108425</v>
      </c>
      <c r="AO140" s="99">
        <f>107343+2800</f>
        <v>110143</v>
      </c>
      <c r="AP140" s="7">
        <v>103047</v>
      </c>
      <c r="AQ140" s="99">
        <f>110319+3000</f>
        <v>113319</v>
      </c>
      <c r="AR140" s="7">
        <v>103252</v>
      </c>
      <c r="AS140" s="7">
        <v>101183</v>
      </c>
      <c r="AT140" s="7">
        <v>97064</v>
      </c>
      <c r="AU140" s="7">
        <v>92660</v>
      </c>
      <c r="AV140" s="7">
        <v>89698</v>
      </c>
      <c r="AW140" s="7">
        <v>91440</v>
      </c>
      <c r="AX140" s="7">
        <v>96908</v>
      </c>
      <c r="AY140" s="7">
        <f>121300-AY141</f>
        <v>89300</v>
      </c>
      <c r="AZ140" s="7">
        <f>115300-AZ141</f>
        <v>85300</v>
      </c>
      <c r="BA140" s="7">
        <f>(AW140+AW141)*1.03-BA141</f>
        <v>91658.45</v>
      </c>
      <c r="BB140" s="7">
        <f>99658-9700-BB141</f>
        <v>58854</v>
      </c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3"/>
      <c r="BX140" s="3"/>
      <c r="BY140" s="3"/>
      <c r="CA140" s="3"/>
      <c r="CB140" s="3"/>
      <c r="CC140" s="3"/>
      <c r="CD140" s="3"/>
      <c r="CE140" s="3"/>
      <c r="CF140" s="3"/>
      <c r="CG140" s="3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</row>
    <row r="141" spans="2:118">
      <c r="B141" s="3" t="s">
        <v>29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>
        <f t="shared" ref="N141:T141" si="502">N109</f>
        <v>24213</v>
      </c>
      <c r="O141" s="3">
        <f t="shared" si="502"/>
        <v>25826</v>
      </c>
      <c r="P141" s="3">
        <f t="shared" si="502"/>
        <v>28913</v>
      </c>
      <c r="Q141" s="3">
        <f t="shared" si="502"/>
        <v>27783</v>
      </c>
      <c r="R141" s="3">
        <f t="shared" si="502"/>
        <v>26358</v>
      </c>
      <c r="S141" s="3">
        <f t="shared" si="502"/>
        <v>27978</v>
      </c>
      <c r="T141" s="3">
        <f t="shared" si="502"/>
        <v>29047</v>
      </c>
      <c r="U141" s="3">
        <v>27837</v>
      </c>
      <c r="V141" s="3">
        <v>29485</v>
      </c>
      <c r="W141" s="307">
        <v>28345</v>
      </c>
      <c r="X141" s="3">
        <v>30420</v>
      </c>
      <c r="Y141" s="3">
        <v>31186</v>
      </c>
      <c r="Z141" s="3">
        <v>27265</v>
      </c>
      <c r="AA141" s="307">
        <v>29006</v>
      </c>
      <c r="AB141" s="7">
        <v>34641</v>
      </c>
      <c r="AC141" s="7">
        <v>27487</v>
      </c>
      <c r="AD141" s="7">
        <v>33685</v>
      </c>
      <c r="AE141" s="7">
        <f>18118-4000-AE142-AE144</f>
        <v>9290</v>
      </c>
      <c r="AF141" s="7">
        <v>13148</v>
      </c>
      <c r="AG141" s="7">
        <v>13121</v>
      </c>
      <c r="AH141" s="7">
        <v>8485</v>
      </c>
      <c r="AI141" s="7">
        <v>12430</v>
      </c>
      <c r="AJ141" s="7">
        <v>13878</v>
      </c>
      <c r="AK141" s="7">
        <v>17863</v>
      </c>
      <c r="AL141" s="7">
        <v>21755</v>
      </c>
      <c r="AM141" s="7">
        <v>18479</v>
      </c>
      <c r="AN141" s="7">
        <v>21194</v>
      </c>
      <c r="AO141" s="7">
        <v>22369</v>
      </c>
      <c r="AP141" s="7">
        <v>23842</v>
      </c>
      <c r="AQ141" s="7">
        <v>19834</v>
      </c>
      <c r="AR141" s="7">
        <v>21202</v>
      </c>
      <c r="AS141" s="7">
        <v>24548</v>
      </c>
      <c r="AT141" s="7">
        <v>25409</v>
      </c>
      <c r="AU141" s="7">
        <v>21300</v>
      </c>
      <c r="AV141" s="7">
        <v>20163</v>
      </c>
      <c r="AW141" s="7">
        <v>26675</v>
      </c>
      <c r="AX141" s="7">
        <v>29611</v>
      </c>
      <c r="AY141" s="99">
        <v>32000</v>
      </c>
      <c r="AZ141" s="99">
        <v>30000</v>
      </c>
      <c r="BA141" s="99">
        <v>30000</v>
      </c>
      <c r="BB141" s="99">
        <v>31104</v>
      </c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3"/>
      <c r="BX141" s="3"/>
      <c r="BY141" s="3"/>
      <c r="CA141" s="3"/>
      <c r="CB141" s="3"/>
      <c r="CC141" s="3"/>
      <c r="CD141" s="3"/>
      <c r="CE141" s="3"/>
      <c r="CF141" s="3"/>
      <c r="CG141" s="3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</row>
    <row r="142" spans="2:118">
      <c r="B142" s="3" t="s">
        <v>782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7">
        <f t="shared" ref="N142:AB142" si="503">N96</f>
        <v>44</v>
      </c>
      <c r="O142" s="7">
        <f t="shared" si="503"/>
        <v>498</v>
      </c>
      <c r="P142" s="7">
        <f t="shared" si="503"/>
        <v>464</v>
      </c>
      <c r="Q142" s="7">
        <f t="shared" si="503"/>
        <v>147</v>
      </c>
      <c r="R142" s="7">
        <f t="shared" si="503"/>
        <v>-178</v>
      </c>
      <c r="S142" s="7">
        <f t="shared" si="503"/>
        <v>491</v>
      </c>
      <c r="T142" s="7">
        <f t="shared" si="503"/>
        <v>451</v>
      </c>
      <c r="U142" s="7">
        <f t="shared" si="503"/>
        <v>399</v>
      </c>
      <c r="V142" s="7">
        <f t="shared" si="503"/>
        <v>502</v>
      </c>
      <c r="W142" s="7">
        <f t="shared" si="503"/>
        <v>985</v>
      </c>
      <c r="X142" s="7">
        <f t="shared" si="503"/>
        <v>832</v>
      </c>
      <c r="Y142" s="7">
        <f t="shared" si="503"/>
        <v>1097</v>
      </c>
      <c r="Z142" s="7">
        <f t="shared" si="503"/>
        <v>676</v>
      </c>
      <c r="AA142" s="7">
        <f t="shared" si="503"/>
        <v>1181</v>
      </c>
      <c r="AB142" s="7">
        <f t="shared" si="503"/>
        <v>1039</v>
      </c>
      <c r="AC142" s="7">
        <f>1032</f>
        <v>1032</v>
      </c>
      <c r="AD142" s="7">
        <v>814</v>
      </c>
      <c r="AE142" s="7">
        <f>2.224*AE63</f>
        <v>1226.6572775</v>
      </c>
      <c r="AF142" s="7">
        <f>3.19*AF63</f>
        <v>1769.6873446153845</v>
      </c>
      <c r="AG142" s="7">
        <f>2.9*AG63</f>
        <v>1674.8998333333325</v>
      </c>
      <c r="AH142" s="7">
        <f>2.9*AH63</f>
        <v>1735.3828484848484</v>
      </c>
      <c r="AI142" s="7">
        <v>1757</v>
      </c>
      <c r="AJ142" s="7">
        <v>1471</v>
      </c>
      <c r="AK142" s="7">
        <v>1646</v>
      </c>
      <c r="AL142" s="7">
        <v>1317</v>
      </c>
      <c r="AM142" s="7">
        <v>1581</v>
      </c>
      <c r="AN142" s="7">
        <v>1369</v>
      </c>
      <c r="AO142" s="7">
        <v>1057</v>
      </c>
      <c r="AP142" s="7">
        <v>752</v>
      </c>
      <c r="AQ142" s="7">
        <f>AQ96</f>
        <v>809</v>
      </c>
      <c r="AR142" s="7">
        <f t="shared" ref="AR142:AX142" si="504">AR96</f>
        <v>730</v>
      </c>
      <c r="AS142" s="7">
        <f t="shared" si="504"/>
        <v>351</v>
      </c>
      <c r="AT142" s="7">
        <f t="shared" si="504"/>
        <v>988</v>
      </c>
      <c r="AU142" s="7">
        <f t="shared" si="504"/>
        <v>488</v>
      </c>
      <c r="AV142" s="7">
        <f t="shared" si="504"/>
        <v>917</v>
      </c>
      <c r="AW142" s="7">
        <f t="shared" si="504"/>
        <v>386</v>
      </c>
      <c r="AX142" s="7">
        <f t="shared" si="504"/>
        <v>1416</v>
      </c>
      <c r="AY142" s="99">
        <v>1000</v>
      </c>
      <c r="AZ142" s="99">
        <v>1000</v>
      </c>
      <c r="BA142" s="99">
        <v>1000</v>
      </c>
      <c r="BB142" s="99">
        <v>1000</v>
      </c>
      <c r="BC142" s="99">
        <v>1000</v>
      </c>
      <c r="BD142" s="99">
        <v>1000</v>
      </c>
      <c r="BE142" s="99">
        <v>1000</v>
      </c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3"/>
      <c r="BX142" s="3"/>
      <c r="BY142" s="3"/>
      <c r="CA142" s="3"/>
      <c r="CB142" s="3"/>
      <c r="CC142" s="3"/>
      <c r="CD142" s="3"/>
      <c r="CE142" s="3"/>
      <c r="CF142" s="3"/>
      <c r="CG142" s="3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</row>
    <row r="143" spans="2:118">
      <c r="B143" s="3" t="s">
        <v>783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>
        <v>-1391</v>
      </c>
      <c r="AD143" s="7">
        <v>-9643</v>
      </c>
      <c r="AE143" s="7">
        <v>-9651</v>
      </c>
      <c r="AF143" s="7">
        <v>-21188</v>
      </c>
      <c r="AG143" s="7">
        <v>-23928</v>
      </c>
      <c r="AH143" s="7">
        <v>-54753</v>
      </c>
      <c r="AI143" s="7">
        <v>-35568</v>
      </c>
      <c r="AJ143" s="7">
        <v>-39585</v>
      </c>
      <c r="AK143" s="7">
        <v>-44505</v>
      </c>
      <c r="AL143" s="7">
        <v>-49401</v>
      </c>
      <c r="AM143" s="7">
        <v>-31443</v>
      </c>
      <c r="AN143" s="7">
        <v>-34636</v>
      </c>
      <c r="AO143" s="7">
        <v>-27045</v>
      </c>
      <c r="AP143" s="7">
        <v>-28365</v>
      </c>
      <c r="AQ143" s="7">
        <v>-23865</v>
      </c>
      <c r="AR143" s="7">
        <v>-27019</v>
      </c>
      <c r="AS143" s="7">
        <v>-16154</v>
      </c>
      <c r="AT143" s="7">
        <v>-8960</v>
      </c>
      <c r="AU143" s="7">
        <v>-16203</v>
      </c>
      <c r="AV143" s="7">
        <v>-17597</v>
      </c>
      <c r="AW143" s="7">
        <v>-15691</v>
      </c>
      <c r="AX143" s="7">
        <v>-3681</v>
      </c>
      <c r="AY143" s="7">
        <f>-7016-AY142</f>
        <v>-8016</v>
      </c>
      <c r="AZ143" s="7">
        <f>-(0.231*AZ288)-AZ142</f>
        <v>-1157.7729999999999</v>
      </c>
      <c r="BA143" s="7">
        <f>(6.499*BA288)-BA142</f>
        <v>3438.817</v>
      </c>
      <c r="BB143" s="7">
        <f>((113.6-113.1)*BB288)-BB142</f>
        <v>-622.5</v>
      </c>
      <c r="BC143" s="7">
        <f>BC286*BC296-BC142</f>
        <v>25107</v>
      </c>
      <c r="BD143" s="7">
        <f>BD286*BD296-BD142</f>
        <v>17200</v>
      </c>
      <c r="BE143" s="7">
        <f>BE286*BE296-BE142</f>
        <v>21561</v>
      </c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3"/>
      <c r="BX143" s="3"/>
      <c r="BY143" s="3"/>
      <c r="CA143" s="3"/>
      <c r="CB143" s="3"/>
      <c r="CC143" s="3"/>
      <c r="CD143" s="3"/>
      <c r="CE143" s="3"/>
      <c r="CF143" s="3"/>
      <c r="CG143" s="3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</row>
    <row r="144" spans="2:118">
      <c r="B144" s="2" t="s">
        <v>20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9">
        <f>N145-N140-N141-N142</f>
        <v>302</v>
      </c>
      <c r="O144" s="9">
        <f t="shared" ref="O144:T144" si="505">O145-O140-O141-O142</f>
        <v>454</v>
      </c>
      <c r="P144" s="9">
        <f t="shared" si="505"/>
        <v>510</v>
      </c>
      <c r="Q144" s="9">
        <f t="shared" si="505"/>
        <v>499</v>
      </c>
      <c r="R144" s="9">
        <f t="shared" si="505"/>
        <v>588</v>
      </c>
      <c r="S144" s="9">
        <f t="shared" si="505"/>
        <v>725</v>
      </c>
      <c r="T144" s="9">
        <f t="shared" si="505"/>
        <v>663</v>
      </c>
      <c r="U144" s="9">
        <f>-1477-U142</f>
        <v>-1876</v>
      </c>
      <c r="V144" s="9">
        <f ca="1">V145-V140-V141-V142</f>
        <v>746</v>
      </c>
      <c r="W144" s="9">
        <f>W145-W140-W141-W142</f>
        <v>-1541</v>
      </c>
      <c r="X144" s="9">
        <f>1863-X142</f>
        <v>1031</v>
      </c>
      <c r="Y144" s="9">
        <f>1814-Y142</f>
        <v>717</v>
      </c>
      <c r="Z144" s="9">
        <f>1514-Z142</f>
        <v>838</v>
      </c>
      <c r="AA144" s="9">
        <f>2064-AA142</f>
        <v>883</v>
      </c>
      <c r="AB144" s="9">
        <f>2355-AB142</f>
        <v>1316</v>
      </c>
      <c r="AC144" s="9">
        <f>-1555-AC142-AC143</f>
        <v>-1196</v>
      </c>
      <c r="AD144" s="9">
        <f>-8585-AD142-AD143</f>
        <v>244</v>
      </c>
      <c r="AE144" s="349">
        <f>-823-AE142-AE143-4000</f>
        <v>3601.3427224999996</v>
      </c>
      <c r="AF144" s="361">
        <f>7051-AF142</f>
        <v>5281.3126553846159</v>
      </c>
      <c r="AG144" s="361">
        <f>5840-AG142</f>
        <v>4165.1001666666671</v>
      </c>
      <c r="AH144" s="361">
        <f>7060-AH142</f>
        <v>5324.6171515151518</v>
      </c>
      <c r="AI144" s="361">
        <f>3296-AI142</f>
        <v>1539</v>
      </c>
      <c r="AJ144" s="361">
        <f>AJ145-SUM(AJ140:AJ143)</f>
        <v>925</v>
      </c>
      <c r="AK144" s="361">
        <f t="shared" ref="AK144:AP144" si="506">AK145-AK140-AK141-AK142-AK143</f>
        <v>620</v>
      </c>
      <c r="AL144" s="361">
        <f t="shared" si="506"/>
        <v>1447</v>
      </c>
      <c r="AM144" s="361">
        <f t="shared" si="506"/>
        <v>2133</v>
      </c>
      <c r="AN144" s="361">
        <f t="shared" si="506"/>
        <v>2213</v>
      </c>
      <c r="AO144" s="361">
        <f t="shared" si="506"/>
        <v>2175</v>
      </c>
      <c r="AP144" s="361">
        <f t="shared" si="506"/>
        <v>708</v>
      </c>
      <c r="AQ144" s="361">
        <f t="shared" ref="AQ144:BB144" si="507">AQ145-AQ140-AQ141-AQ142-AQ143</f>
        <v>2878</v>
      </c>
      <c r="AR144" s="361">
        <f t="shared" si="507"/>
        <v>455</v>
      </c>
      <c r="AS144" s="361">
        <f t="shared" si="507"/>
        <v>2129</v>
      </c>
      <c r="AT144" s="361">
        <f t="shared" si="507"/>
        <v>1950</v>
      </c>
      <c r="AU144" s="361">
        <f t="shared" si="507"/>
        <v>1097</v>
      </c>
      <c r="AV144" s="361">
        <f t="shared" si="507"/>
        <v>1041</v>
      </c>
      <c r="AW144" s="361">
        <f t="shared" si="507"/>
        <v>4298</v>
      </c>
      <c r="AX144" s="361">
        <f t="shared" si="507"/>
        <v>1995</v>
      </c>
      <c r="AY144" s="361">
        <f t="shared" si="507"/>
        <v>3807</v>
      </c>
      <c r="AZ144" s="361">
        <f t="shared" si="507"/>
        <v>1757.7729999999999</v>
      </c>
      <c r="BA144" s="361">
        <f t="shared" si="507"/>
        <v>4899.7330000000029</v>
      </c>
      <c r="BB144" s="361">
        <f t="shared" si="507"/>
        <v>33064.5</v>
      </c>
      <c r="BC144" s="374"/>
      <c r="BD144" s="374"/>
      <c r="BE144" s="374"/>
      <c r="BF144" s="374"/>
      <c r="BG144" s="374"/>
      <c r="BH144" s="428"/>
      <c r="BI144" s="428"/>
      <c r="BJ144" s="428"/>
      <c r="BK144" s="428"/>
      <c r="BL144" s="428"/>
      <c r="BM144" s="428"/>
      <c r="BN144" s="374"/>
      <c r="BO144" s="374"/>
      <c r="BP144" s="374"/>
      <c r="BQ144" s="374"/>
      <c r="BR144" s="374"/>
      <c r="BS144" s="374"/>
      <c r="BT144" s="374"/>
      <c r="BU144" s="374"/>
      <c r="BV144" s="374"/>
      <c r="BW144" s="3"/>
      <c r="BX144" s="3"/>
      <c r="BY144" s="3"/>
      <c r="CA144" s="3"/>
      <c r="CB144" s="3"/>
      <c r="CC144" s="3"/>
      <c r="CD144" s="3"/>
      <c r="CE144" s="3"/>
      <c r="CF144" s="3"/>
      <c r="CG144" s="3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</row>
    <row r="145" spans="2:118">
      <c r="B145" s="3" t="s">
        <v>4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>
        <v>103120</v>
      </c>
      <c r="O145" s="3">
        <v>102844</v>
      </c>
      <c r="P145" s="3">
        <v>110444</v>
      </c>
      <c r="Q145" s="3">
        <v>117221</v>
      </c>
      <c r="R145" s="3">
        <v>115614</v>
      </c>
      <c r="S145" s="3">
        <v>132839</v>
      </c>
      <c r="T145" s="3">
        <v>133134</v>
      </c>
      <c r="U145" s="3">
        <v>132763</v>
      </c>
      <c r="V145" s="3">
        <v>116463</v>
      </c>
      <c r="W145" s="7">
        <v>140559</v>
      </c>
      <c r="X145" s="99">
        <f>138447+2900</f>
        <v>141347</v>
      </c>
      <c r="Y145" s="7">
        <v>143959</v>
      </c>
      <c r="Z145" s="99">
        <f>134469+3200</f>
        <v>137669</v>
      </c>
      <c r="AA145" s="7">
        <v>118687</v>
      </c>
      <c r="AB145" s="7">
        <v>115756</v>
      </c>
      <c r="AC145" s="7">
        <f>116408</f>
        <v>116408</v>
      </c>
      <c r="AD145" s="7">
        <f>AD150</f>
        <v>107446</v>
      </c>
      <c r="AE145" s="7">
        <f>AE150</f>
        <v>111959</v>
      </c>
      <c r="AF145" s="7">
        <f>AF150</f>
        <v>102459</v>
      </c>
      <c r="AG145" s="7">
        <v>92648</v>
      </c>
      <c r="AH145" s="7">
        <v>59084</v>
      </c>
      <c r="AI145" s="7">
        <v>101471</v>
      </c>
      <c r="AJ145" s="99">
        <f>88675+3500+4700</f>
        <v>96875</v>
      </c>
      <c r="AK145" s="7">
        <v>87161</v>
      </c>
      <c r="AL145" s="7">
        <v>79279</v>
      </c>
      <c r="AM145" s="7">
        <v>109033</v>
      </c>
      <c r="AN145" s="7">
        <v>98565</v>
      </c>
      <c r="AO145" s="99">
        <f>105899+2800</f>
        <v>108699</v>
      </c>
      <c r="AP145" s="7">
        <f>111284-11300</f>
        <v>99984</v>
      </c>
      <c r="AQ145" s="99">
        <f>109975+3000</f>
        <v>112975</v>
      </c>
      <c r="AR145" s="7">
        <v>98620</v>
      </c>
      <c r="AS145" s="7">
        <v>112057</v>
      </c>
      <c r="AT145" s="7">
        <v>116451</v>
      </c>
      <c r="AU145" s="7">
        <v>99342</v>
      </c>
      <c r="AV145" s="7">
        <v>94222</v>
      </c>
      <c r="AW145" s="7">
        <v>107108</v>
      </c>
      <c r="AX145" s="7">
        <v>126249</v>
      </c>
      <c r="AY145" s="7">
        <v>118091</v>
      </c>
      <c r="AZ145" s="7">
        <v>116900</v>
      </c>
      <c r="BA145" s="99">
        <f>147397-20600+4200</f>
        <v>130997</v>
      </c>
      <c r="BB145" s="99">
        <f>325400-195400-6600</f>
        <v>123400</v>
      </c>
      <c r="BC145" s="374"/>
      <c r="BD145" s="374"/>
      <c r="BE145" s="374"/>
      <c r="BF145" s="374"/>
      <c r="BG145" s="374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8"/>
      <c r="BX145" s="8"/>
      <c r="BY145" s="8"/>
      <c r="CA145" s="8"/>
      <c r="CB145" s="8"/>
      <c r="CC145" s="8">
        <f t="shared" ref="CC145:DJ145" si="508">R145/N145-1</f>
        <v>0.1211598138091543</v>
      </c>
      <c r="CD145" s="8">
        <f t="shared" si="508"/>
        <v>0.29165532262455751</v>
      </c>
      <c r="CE145" s="8">
        <f t="shared" si="508"/>
        <v>0.20544348266995027</v>
      </c>
      <c r="CF145" s="8">
        <f t="shared" si="508"/>
        <v>0.13258716441593221</v>
      </c>
      <c r="CG145" s="8">
        <f t="shared" si="508"/>
        <v>7.3434013181794544E-3</v>
      </c>
      <c r="CH145" s="8">
        <f t="shared" si="508"/>
        <v>5.8115463079366769E-2</v>
      </c>
      <c r="CI145" s="8">
        <f t="shared" si="508"/>
        <v>6.1689726140580214E-2</v>
      </c>
      <c r="CJ145" s="8">
        <f t="shared" si="508"/>
        <v>8.4330724674796409E-2</v>
      </c>
      <c r="CK145" s="8">
        <f t="shared" si="508"/>
        <v>0.18208358019285087</v>
      </c>
      <c r="CL145" s="8">
        <f t="shared" si="508"/>
        <v>-0.15560725389338281</v>
      </c>
      <c r="CM145" s="8">
        <f t="shared" si="508"/>
        <v>-0.18105088894705934</v>
      </c>
      <c r="CN145" s="8">
        <f t="shared" si="508"/>
        <v>-0.19138087927812775</v>
      </c>
      <c r="CO145" s="8">
        <f t="shared" si="508"/>
        <v>-0.21953380935432087</v>
      </c>
      <c r="CP145" s="8">
        <f t="shared" si="508"/>
        <v>-5.6686916005965315E-2</v>
      </c>
      <c r="CQ145" s="8">
        <f t="shared" si="508"/>
        <v>-0.11487093541587479</v>
      </c>
      <c r="CR145" s="8">
        <f t="shared" si="508"/>
        <v>-0.20410968318328637</v>
      </c>
      <c r="CS145" s="8">
        <f t="shared" si="508"/>
        <v>-0.4501051691082032</v>
      </c>
      <c r="CT145" s="8">
        <f t="shared" si="508"/>
        <v>-9.3677149670861604E-2</v>
      </c>
      <c r="CU145" s="8">
        <f t="shared" si="508"/>
        <v>-5.4499848719975819E-2</v>
      </c>
      <c r="CV145" s="8">
        <f t="shared" si="508"/>
        <v>-5.9224160262498882E-2</v>
      </c>
      <c r="CW145" s="8">
        <f t="shared" si="508"/>
        <v>0.3418015029449597</v>
      </c>
      <c r="CX145" s="8">
        <f t="shared" si="508"/>
        <v>7.4523755555774507E-2</v>
      </c>
      <c r="CY145" s="8">
        <f t="shared" si="508"/>
        <v>1.7445161290322586E-2</v>
      </c>
      <c r="CZ145" s="8">
        <f t="shared" si="508"/>
        <v>0.24710593040465345</v>
      </c>
      <c r="DA145" s="8">
        <f t="shared" si="508"/>
        <v>0.261166260926601</v>
      </c>
      <c r="DB145" s="8">
        <f t="shared" si="508"/>
        <v>3.6154191850173767E-2</v>
      </c>
      <c r="DC145" s="8">
        <f t="shared" si="508"/>
        <v>5.5800740628009216E-4</v>
      </c>
      <c r="DD145" s="8">
        <f t="shared" si="508"/>
        <v>3.0892648506426035E-2</v>
      </c>
      <c r="DE145" s="8">
        <f t="shared" si="508"/>
        <v>0.16469635141622652</v>
      </c>
      <c r="DF145" s="8">
        <f t="shared" si="508"/>
        <v>-0.12067271520247846</v>
      </c>
      <c r="DG145" s="8">
        <f t="shared" si="508"/>
        <v>-4.4595416751166073E-2</v>
      </c>
      <c r="DH145" s="8">
        <f t="shared" si="508"/>
        <v>-4.4165023157857197E-2</v>
      </c>
      <c r="DI145" s="8">
        <f t="shared" si="508"/>
        <v>8.413839297215131E-2</v>
      </c>
      <c r="DJ145" s="8">
        <f t="shared" si="508"/>
        <v>0.18873185560991312</v>
      </c>
    </row>
    <row r="146" spans="2:118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7"/>
      <c r="X146" s="7"/>
      <c r="Y146" s="7"/>
      <c r="Z146" s="7"/>
      <c r="AA146" s="7"/>
      <c r="AB146" s="7"/>
      <c r="AC146" s="7"/>
      <c r="AD146" s="5"/>
      <c r="AE146" s="362"/>
      <c r="AF146" s="362"/>
      <c r="AG146" s="362"/>
      <c r="AH146" s="362"/>
      <c r="AI146" s="362"/>
      <c r="AJ146" s="362"/>
      <c r="AK146" s="362"/>
      <c r="AL146" s="7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362"/>
      <c r="BO146" s="362"/>
      <c r="BP146" s="362"/>
      <c r="BQ146" s="362"/>
      <c r="BR146" s="362"/>
      <c r="BS146" s="362"/>
      <c r="BT146" s="362"/>
      <c r="BU146" s="362"/>
      <c r="BV146" s="362"/>
      <c r="BW146" s="8"/>
      <c r="BX146" s="8"/>
      <c r="BY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</row>
    <row r="147" spans="2:118">
      <c r="B147" s="3" t="s">
        <v>855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7">
        <f t="shared" ref="W147:AC147" si="509">W131</f>
        <v>-1837</v>
      </c>
      <c r="X147" s="7">
        <f t="shared" si="509"/>
        <v>-1271</v>
      </c>
      <c r="Y147" s="7">
        <f t="shared" si="509"/>
        <v>-634</v>
      </c>
      <c r="Z147" s="7">
        <f t="shared" si="509"/>
        <v>17515</v>
      </c>
      <c r="AA147" s="7">
        <f t="shared" si="509"/>
        <v>6731</v>
      </c>
      <c r="AB147" s="7">
        <f t="shared" si="509"/>
        <v>3497</v>
      </c>
      <c r="AC147" s="7">
        <f t="shared" si="509"/>
        <v>802</v>
      </c>
      <c r="AD147" s="7">
        <v>0</v>
      </c>
      <c r="AE147" s="5"/>
      <c r="AF147" s="5"/>
      <c r="AG147" s="5"/>
      <c r="AH147" s="5"/>
      <c r="AI147" s="5"/>
      <c r="AJ147" s="5"/>
      <c r="AK147" s="5"/>
      <c r="AL147" s="5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5"/>
      <c r="BO147" s="5"/>
      <c r="BP147" s="5"/>
      <c r="BQ147" s="5"/>
      <c r="BR147" s="5"/>
      <c r="BS147" s="5"/>
      <c r="BT147" s="5"/>
      <c r="BU147" s="5"/>
      <c r="BV147" s="5"/>
      <c r="BW147" s="8"/>
      <c r="BX147" s="8"/>
      <c r="BY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</row>
    <row r="148" spans="2:118">
      <c r="B148" s="3" t="s">
        <v>716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99">
        <f>W145-W150-W147</f>
        <v>37371</v>
      </c>
      <c r="X148" s="99">
        <f>X145-X150-X147</f>
        <v>44191</v>
      </c>
      <c r="Y148" s="99">
        <f>Y145-Y150-Y147</f>
        <v>37979</v>
      </c>
      <c r="Z148" s="7">
        <f>Z145-Z150+Z147</f>
        <v>38424</v>
      </c>
      <c r="AA148" s="7">
        <f>AA145-AA150+AA147</f>
        <v>6731</v>
      </c>
      <c r="AB148" s="7">
        <f>AB145-AB150+AB147</f>
        <v>546</v>
      </c>
      <c r="AC148" s="7">
        <f>AC145-AC150+AC147</f>
        <v>112</v>
      </c>
      <c r="AD148" s="7">
        <v>0</v>
      </c>
      <c r="AE148" s="7">
        <v>0</v>
      </c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7"/>
      <c r="BO148" s="7"/>
      <c r="BP148" s="7"/>
      <c r="BQ148" s="7"/>
      <c r="BR148" s="7"/>
      <c r="BS148" s="7"/>
      <c r="BT148" s="7"/>
      <c r="BU148" s="7"/>
      <c r="BV148" s="7"/>
      <c r="BW148" s="8"/>
      <c r="BX148" s="8"/>
      <c r="BY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</row>
    <row r="149" spans="2:118">
      <c r="B149" s="2" t="s">
        <v>719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9"/>
      <c r="X149" s="9">
        <v>106164</v>
      </c>
      <c r="Y149" s="9">
        <v>110958</v>
      </c>
      <c r="Z149" s="349">
        <f>Z140-Z148</f>
        <v>87981</v>
      </c>
      <c r="AA149" s="9">
        <v>92995</v>
      </c>
      <c r="AB149" s="9">
        <f t="shared" ref="AB149:AJ149" si="510">AB140+AB147-AB148</f>
        <v>81711</v>
      </c>
      <c r="AC149" s="9">
        <f t="shared" si="510"/>
        <v>91166</v>
      </c>
      <c r="AD149" s="9">
        <f t="shared" si="510"/>
        <v>82346</v>
      </c>
      <c r="AE149" s="9">
        <f t="shared" si="510"/>
        <v>107492</v>
      </c>
      <c r="AF149" s="9">
        <f t="shared" si="510"/>
        <v>103447.99999999999</v>
      </c>
      <c r="AG149" s="9">
        <f t="shared" si="510"/>
        <v>97615</v>
      </c>
      <c r="AH149" s="9">
        <f t="shared" si="510"/>
        <v>98292</v>
      </c>
      <c r="AI149" s="9">
        <f t="shared" si="510"/>
        <v>121313</v>
      </c>
      <c r="AJ149" s="9">
        <f t="shared" si="510"/>
        <v>120186</v>
      </c>
      <c r="AK149" s="9">
        <f t="shared" ref="AK149:AO149" si="511">AK140+AK147-AK148</f>
        <v>111537</v>
      </c>
      <c r="AL149" s="9">
        <f t="shared" si="511"/>
        <v>104161</v>
      </c>
      <c r="AM149" s="9">
        <f t="shared" si="511"/>
        <v>118283</v>
      </c>
      <c r="AN149" s="9">
        <f t="shared" si="511"/>
        <v>108425</v>
      </c>
      <c r="AO149" s="9">
        <f t="shared" si="511"/>
        <v>110143</v>
      </c>
      <c r="AP149" s="9">
        <f t="shared" ref="AP149" si="512">AP140+AP147-AP148</f>
        <v>103047</v>
      </c>
      <c r="AQ149" s="9">
        <f t="shared" ref="AQ149:AV149" si="513">AQ140+AQ147-AQ148</f>
        <v>113319</v>
      </c>
      <c r="AR149" s="9">
        <f t="shared" si="513"/>
        <v>103252</v>
      </c>
      <c r="AS149" s="9">
        <f t="shared" si="513"/>
        <v>101183</v>
      </c>
      <c r="AT149" s="9">
        <f t="shared" si="513"/>
        <v>97064</v>
      </c>
      <c r="AU149" s="9">
        <f t="shared" si="513"/>
        <v>92660</v>
      </c>
      <c r="AV149" s="9">
        <f t="shared" si="513"/>
        <v>89698</v>
      </c>
      <c r="AW149" s="9">
        <f t="shared" ref="AW149:AX149" si="514">AW140+AW147-AW148</f>
        <v>91440</v>
      </c>
      <c r="AX149" s="9">
        <f t="shared" si="514"/>
        <v>96908</v>
      </c>
      <c r="AY149" s="9"/>
      <c r="AZ149" s="9"/>
      <c r="BA149" s="9"/>
      <c r="BB149" s="9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8"/>
      <c r="BX149" s="8"/>
      <c r="BY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</row>
    <row r="150" spans="2:118">
      <c r="B150" s="95" t="s">
        <v>856</v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243">
        <v>105025</v>
      </c>
      <c r="X150" s="243">
        <v>98427</v>
      </c>
      <c r="Y150" s="243">
        <v>106614</v>
      </c>
      <c r="Z150" s="308">
        <f>113560+3200</f>
        <v>116760</v>
      </c>
      <c r="AA150" s="308">
        <f>118687</f>
        <v>118687</v>
      </c>
      <c r="AB150" s="243">
        <v>118707</v>
      </c>
      <c r="AC150" s="243">
        <f>117098</f>
        <v>117098</v>
      </c>
      <c r="AD150" s="243">
        <v>107446</v>
      </c>
      <c r="AE150" s="308">
        <f>115959-4000</f>
        <v>111959</v>
      </c>
      <c r="AF150" s="243">
        <v>102459</v>
      </c>
      <c r="AG150" s="243">
        <v>92648</v>
      </c>
      <c r="AH150" s="243">
        <v>59084</v>
      </c>
      <c r="AI150" s="243">
        <f t="shared" ref="AI150:AO150" si="515">AI145</f>
        <v>101471</v>
      </c>
      <c r="AJ150" s="243">
        <f t="shared" si="515"/>
        <v>96875</v>
      </c>
      <c r="AK150" s="243">
        <f t="shared" si="515"/>
        <v>87161</v>
      </c>
      <c r="AL150" s="243">
        <f t="shared" si="515"/>
        <v>79279</v>
      </c>
      <c r="AM150" s="243">
        <f t="shared" si="515"/>
        <v>109033</v>
      </c>
      <c r="AN150" s="243">
        <f t="shared" si="515"/>
        <v>98565</v>
      </c>
      <c r="AO150" s="243">
        <f t="shared" si="515"/>
        <v>108699</v>
      </c>
      <c r="AP150" s="243">
        <f t="shared" ref="AP150:AQ150" si="516">AP145</f>
        <v>99984</v>
      </c>
      <c r="AQ150" s="243">
        <f t="shared" si="516"/>
        <v>112975</v>
      </c>
      <c r="AR150" s="243">
        <f t="shared" ref="AR150" si="517">AR145</f>
        <v>98620</v>
      </c>
      <c r="AS150" s="243">
        <v>112057</v>
      </c>
      <c r="AT150" s="243">
        <v>116451</v>
      </c>
      <c r="AU150" s="243">
        <v>99342</v>
      </c>
      <c r="AV150" s="243">
        <v>94222</v>
      </c>
      <c r="AW150" s="243">
        <f t="shared" ref="AW150:BB150" si="518">AW145</f>
        <v>107108</v>
      </c>
      <c r="AX150" s="243">
        <f t="shared" si="518"/>
        <v>126249</v>
      </c>
      <c r="AY150" s="243">
        <f t="shared" si="518"/>
        <v>118091</v>
      </c>
      <c r="AZ150" s="243">
        <v>116911</v>
      </c>
      <c r="BA150" s="243">
        <f t="shared" si="518"/>
        <v>130997</v>
      </c>
      <c r="BB150" s="243">
        <f t="shared" si="518"/>
        <v>123400</v>
      </c>
      <c r="BC150" s="243"/>
      <c r="BD150" s="243"/>
      <c r="BE150" s="243"/>
      <c r="BF150" s="243"/>
      <c r="BG150" s="243"/>
      <c r="BH150" s="243"/>
      <c r="BI150" s="243"/>
      <c r="BJ150" s="243"/>
      <c r="BK150" s="243"/>
      <c r="BL150" s="243"/>
      <c r="BM150" s="243"/>
      <c r="BN150" s="243"/>
      <c r="BO150" s="243"/>
      <c r="BP150" s="243"/>
      <c r="BQ150" s="243"/>
      <c r="BR150" s="243"/>
      <c r="BS150" s="243"/>
      <c r="BT150" s="243"/>
      <c r="BU150" s="243"/>
      <c r="BV150" s="243"/>
      <c r="BW150" s="8"/>
      <c r="BX150" s="8"/>
      <c r="BY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>
        <f t="shared" ref="CL150:DI150" si="519">AA150/W150-1</f>
        <v>0.13008331349678648</v>
      </c>
      <c r="CM150" s="8">
        <f t="shared" si="519"/>
        <v>0.20604102532841595</v>
      </c>
      <c r="CN150" s="8">
        <f t="shared" si="519"/>
        <v>9.83360534263793E-2</v>
      </c>
      <c r="CO150" s="8">
        <f t="shared" si="519"/>
        <v>-7.9770469338814709E-2</v>
      </c>
      <c r="CP150" s="8">
        <f t="shared" si="519"/>
        <v>-5.6686916005965315E-2</v>
      </c>
      <c r="CQ150" s="8">
        <f t="shared" si="519"/>
        <v>-0.13687482625287473</v>
      </c>
      <c r="CR150" s="8">
        <f t="shared" si="519"/>
        <v>-0.20879946711301645</v>
      </c>
      <c r="CS150" s="8">
        <f t="shared" si="519"/>
        <v>-0.4501051691082032</v>
      </c>
      <c r="CT150" s="8">
        <f t="shared" si="519"/>
        <v>-9.3677149670861604E-2</v>
      </c>
      <c r="CU150" s="8">
        <f t="shared" si="519"/>
        <v>-5.4499848719975819E-2</v>
      </c>
      <c r="CV150" s="8">
        <f t="shared" si="519"/>
        <v>-5.9224160262498882E-2</v>
      </c>
      <c r="CW150" s="8">
        <f t="shared" si="519"/>
        <v>0.3418015029449597</v>
      </c>
      <c r="CX150" s="8">
        <f t="shared" si="519"/>
        <v>7.4523755555774507E-2</v>
      </c>
      <c r="CY150" s="8">
        <f t="shared" si="519"/>
        <v>1.7445161290322586E-2</v>
      </c>
      <c r="CZ150" s="8">
        <f t="shared" si="519"/>
        <v>0.24710593040465345</v>
      </c>
      <c r="DA150" s="8">
        <f t="shared" si="519"/>
        <v>0.261166260926601</v>
      </c>
      <c r="DB150" s="8">
        <f t="shared" si="519"/>
        <v>3.6154191850173767E-2</v>
      </c>
      <c r="DC150" s="8">
        <f t="shared" si="519"/>
        <v>5.5800740628009216E-4</v>
      </c>
      <c r="DD150" s="8">
        <f t="shared" si="519"/>
        <v>3.0892648506426035E-2</v>
      </c>
      <c r="DE150" s="8">
        <f t="shared" si="519"/>
        <v>0.16469635141622652</v>
      </c>
      <c r="DF150" s="8">
        <f t="shared" si="519"/>
        <v>-0.12067271520247846</v>
      </c>
      <c r="DG150" s="8">
        <f t="shared" si="519"/>
        <v>-4.4595416751166073E-2</v>
      </c>
      <c r="DH150" s="8">
        <f t="shared" si="519"/>
        <v>-4.4165023157857197E-2</v>
      </c>
      <c r="DI150" s="8">
        <f t="shared" si="519"/>
        <v>8.413839297215131E-2</v>
      </c>
      <c r="DJ150" s="8">
        <f>AY150/AT150-1</f>
        <v>1.4083176615056869E-2</v>
      </c>
    </row>
    <row r="151" spans="2:118">
      <c r="B151" s="3" t="s">
        <v>788</v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243"/>
      <c r="X151" s="243"/>
      <c r="Y151" s="7">
        <f t="shared" ref="Y151:AF151" si="520">Y150-Y143</f>
        <v>106614</v>
      </c>
      <c r="Z151" s="7">
        <f t="shared" si="520"/>
        <v>116760</v>
      </c>
      <c r="AA151" s="7">
        <f t="shared" si="520"/>
        <v>118687</v>
      </c>
      <c r="AB151" s="7">
        <f t="shared" si="520"/>
        <v>118707</v>
      </c>
      <c r="AC151" s="7">
        <f t="shared" si="520"/>
        <v>118489</v>
      </c>
      <c r="AD151" s="7">
        <f t="shared" si="520"/>
        <v>117089</v>
      </c>
      <c r="AE151" s="7">
        <f t="shared" si="520"/>
        <v>121610</v>
      </c>
      <c r="AF151" s="7">
        <f t="shared" si="520"/>
        <v>123647</v>
      </c>
      <c r="AG151" s="7">
        <f t="shared" ref="AG151:AO151" si="521">AG150-AG143</f>
        <v>116576</v>
      </c>
      <c r="AH151" s="7">
        <f t="shared" si="521"/>
        <v>113837</v>
      </c>
      <c r="AI151" s="7">
        <f t="shared" si="521"/>
        <v>137039</v>
      </c>
      <c r="AJ151" s="7">
        <f t="shared" si="521"/>
        <v>136460</v>
      </c>
      <c r="AK151" s="7">
        <f t="shared" si="521"/>
        <v>131666</v>
      </c>
      <c r="AL151" s="7">
        <f t="shared" si="521"/>
        <v>128680</v>
      </c>
      <c r="AM151" s="7">
        <f t="shared" si="521"/>
        <v>140476</v>
      </c>
      <c r="AN151" s="7">
        <f t="shared" si="521"/>
        <v>133201</v>
      </c>
      <c r="AO151" s="7">
        <f t="shared" si="521"/>
        <v>135744</v>
      </c>
      <c r="AP151" s="7">
        <f t="shared" ref="AP151:AQ151" si="522">AP150-AP143</f>
        <v>128349</v>
      </c>
      <c r="AQ151" s="7">
        <f t="shared" si="522"/>
        <v>136840</v>
      </c>
      <c r="AR151" s="7">
        <f t="shared" ref="AR151:AW151" si="523">AR150-AR143</f>
        <v>125639</v>
      </c>
      <c r="AS151" s="7">
        <f t="shared" si="523"/>
        <v>128211</v>
      </c>
      <c r="AT151" s="7">
        <f t="shared" si="523"/>
        <v>125411</v>
      </c>
      <c r="AU151" s="7">
        <f t="shared" si="523"/>
        <v>115545</v>
      </c>
      <c r="AV151" s="7">
        <f t="shared" ref="AV151" si="524">AV150-AV143</f>
        <v>111819</v>
      </c>
      <c r="AW151" s="7">
        <f t="shared" si="523"/>
        <v>122799</v>
      </c>
      <c r="AX151" s="7">
        <f t="shared" ref="AX151" si="525">AX150-AX143</f>
        <v>129930</v>
      </c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8"/>
      <c r="BX151" s="8"/>
      <c r="BY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>
        <f t="shared" ref="CN151:DI151" si="526">AC151/Y151-1</f>
        <v>0.11138312041570519</v>
      </c>
      <c r="CO151" s="8">
        <f t="shared" si="526"/>
        <v>2.8177458033573632E-3</v>
      </c>
      <c r="CP151" s="8">
        <f t="shared" si="526"/>
        <v>2.4627802539452404E-2</v>
      </c>
      <c r="CQ151" s="8">
        <f t="shared" si="526"/>
        <v>4.1615069035524366E-2</v>
      </c>
      <c r="CR151" s="8">
        <f t="shared" si="526"/>
        <v>-1.6144958603752202E-2</v>
      </c>
      <c r="CS151" s="8">
        <f t="shared" si="526"/>
        <v>-2.7773744758260777E-2</v>
      </c>
      <c r="CT151" s="8">
        <f t="shared" si="526"/>
        <v>0.12687279006660646</v>
      </c>
      <c r="CU151" s="8">
        <f t="shared" si="526"/>
        <v>0.10362564397033491</v>
      </c>
      <c r="CV151" s="8">
        <f t="shared" si="526"/>
        <v>0.12944345319791384</v>
      </c>
      <c r="CW151" s="8">
        <f t="shared" si="526"/>
        <v>0.13038818661770768</v>
      </c>
      <c r="CX151" s="8">
        <f t="shared" si="526"/>
        <v>2.5080451550288707E-2</v>
      </c>
      <c r="CY151" s="8">
        <f t="shared" si="526"/>
        <v>-2.3882456397479102E-2</v>
      </c>
      <c r="CZ151" s="8">
        <f t="shared" si="526"/>
        <v>3.0972308720550457E-2</v>
      </c>
      <c r="DA151" s="8">
        <f t="shared" si="526"/>
        <v>-2.572272303388301E-3</v>
      </c>
      <c r="DB151" s="8">
        <f t="shared" si="526"/>
        <v>-2.5883424926677834E-2</v>
      </c>
      <c r="DC151" s="8">
        <f t="shared" si="526"/>
        <v>-5.6771345560468811E-2</v>
      </c>
      <c r="DD151" s="8">
        <f t="shared" si="526"/>
        <v>-5.5494165487977365E-2</v>
      </c>
      <c r="DE151" s="8">
        <f t="shared" si="526"/>
        <v>-2.289071204294546E-2</v>
      </c>
      <c r="DF151" s="8">
        <f t="shared" si="526"/>
        <v>-0.15561970184156682</v>
      </c>
      <c r="DG151" s="8">
        <f t="shared" si="526"/>
        <v>-0.1099976917995209</v>
      </c>
      <c r="DH151" s="8">
        <f t="shared" si="526"/>
        <v>-4.2211666705664896E-2</v>
      </c>
      <c r="DI151" s="8">
        <f t="shared" si="526"/>
        <v>3.6033521780385991E-2</v>
      </c>
      <c r="DJ151" s="8">
        <f>AY151/AT151-1</f>
        <v>-1</v>
      </c>
    </row>
    <row r="152" spans="2:118">
      <c r="B152" s="364" t="s">
        <v>1276</v>
      </c>
      <c r="C152" s="321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73"/>
      <c r="X152" s="373"/>
      <c r="Y152" s="19">
        <f>Y150-Y142-Y143</f>
        <v>105517</v>
      </c>
      <c r="Z152" s="19">
        <f t="shared" ref="Z152:AH152" si="527">Z150-Z142-Z143</f>
        <v>116084</v>
      </c>
      <c r="AA152" s="19">
        <f t="shared" si="527"/>
        <v>117506</v>
      </c>
      <c r="AB152" s="19">
        <f t="shared" si="527"/>
        <v>117668</v>
      </c>
      <c r="AC152" s="19">
        <f t="shared" si="527"/>
        <v>117457</v>
      </c>
      <c r="AD152" s="19">
        <f t="shared" si="527"/>
        <v>116275</v>
      </c>
      <c r="AE152" s="19">
        <f t="shared" si="527"/>
        <v>120383.34272250001</v>
      </c>
      <c r="AF152" s="19">
        <f t="shared" si="527"/>
        <v>121877.31265538461</v>
      </c>
      <c r="AG152" s="19">
        <f t="shared" si="527"/>
        <v>114901.10016666667</v>
      </c>
      <c r="AH152" s="19">
        <f t="shared" si="527"/>
        <v>112101.61715151515</v>
      </c>
      <c r="AI152" s="19">
        <f t="shared" ref="AI152:AO152" si="528">AI150-AI142-AI143</f>
        <v>135282</v>
      </c>
      <c r="AJ152" s="19">
        <f t="shared" si="528"/>
        <v>134989</v>
      </c>
      <c r="AK152" s="19">
        <f t="shared" si="528"/>
        <v>130020</v>
      </c>
      <c r="AL152" s="19">
        <f t="shared" si="528"/>
        <v>127363</v>
      </c>
      <c r="AM152" s="19">
        <f t="shared" si="528"/>
        <v>138895</v>
      </c>
      <c r="AN152" s="19">
        <f t="shared" si="528"/>
        <v>131832</v>
      </c>
      <c r="AO152" s="19">
        <f t="shared" si="528"/>
        <v>134687</v>
      </c>
      <c r="AP152" s="19">
        <f t="shared" ref="AP152:AQ152" si="529">AP150-AP142-AP143</f>
        <v>127597</v>
      </c>
      <c r="AQ152" s="19">
        <f t="shared" si="529"/>
        <v>136031</v>
      </c>
      <c r="AR152" s="19">
        <f t="shared" ref="AR152:AW152" si="530">AR150-AR142-AR143</f>
        <v>124909</v>
      </c>
      <c r="AS152" s="19">
        <f t="shared" si="530"/>
        <v>127860</v>
      </c>
      <c r="AT152" s="19">
        <f t="shared" si="530"/>
        <v>124423</v>
      </c>
      <c r="AU152" s="19">
        <f t="shared" si="530"/>
        <v>115057</v>
      </c>
      <c r="AV152" s="19">
        <f t="shared" ref="AV152" si="531">AV150-AV142-AV143</f>
        <v>110902</v>
      </c>
      <c r="AW152" s="19">
        <f t="shared" si="530"/>
        <v>122413</v>
      </c>
      <c r="AX152" s="19">
        <f t="shared" ref="AX152" si="532">AX150-AX142-AX143</f>
        <v>128514</v>
      </c>
      <c r="AY152" s="19">
        <v>121315</v>
      </c>
      <c r="AZ152" s="19">
        <v>115300</v>
      </c>
      <c r="BA152" s="19">
        <f>BA140+BA141</f>
        <v>121658.45</v>
      </c>
      <c r="BB152" s="19">
        <f>BB140+BB141</f>
        <v>89958</v>
      </c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8"/>
      <c r="BX152" s="8"/>
      <c r="BY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>
        <f t="shared" ref="CT152:DL152" si="533">AI152/AE152-1</f>
        <v>0.12376012279243165</v>
      </c>
      <c r="CU152" s="8">
        <f t="shared" si="533"/>
        <v>0.10758103422980336</v>
      </c>
      <c r="CV152" s="8">
        <f t="shared" si="533"/>
        <v>0.13158185440699022</v>
      </c>
      <c r="CW152" s="8">
        <f t="shared" si="533"/>
        <v>0.1361388286473848</v>
      </c>
      <c r="CX152" s="8">
        <f t="shared" si="533"/>
        <v>2.6707174642598419E-2</v>
      </c>
      <c r="CY152" s="8">
        <f t="shared" si="533"/>
        <v>-2.3387090799991128E-2</v>
      </c>
      <c r="CZ152" s="8">
        <f t="shared" si="533"/>
        <v>3.5894477772650424E-2</v>
      </c>
      <c r="DA152" s="8">
        <f t="shared" si="533"/>
        <v>1.8372682804268514E-3</v>
      </c>
      <c r="DB152" s="8">
        <f t="shared" si="533"/>
        <v>-2.061989272472009E-2</v>
      </c>
      <c r="DC152" s="8">
        <f t="shared" si="533"/>
        <v>-5.2513805449359796E-2</v>
      </c>
      <c r="DD152" s="8">
        <f t="shared" si="533"/>
        <v>-5.0687891184746814E-2</v>
      </c>
      <c r="DE152" s="8">
        <f t="shared" si="533"/>
        <v>-2.4875192990430839E-2</v>
      </c>
      <c r="DF152" s="8">
        <f t="shared" si="533"/>
        <v>-0.1541854430240166</v>
      </c>
      <c r="DG152" s="8">
        <f t="shared" si="533"/>
        <v>-0.11213763619915296</v>
      </c>
      <c r="DH152" s="8">
        <f t="shared" si="533"/>
        <v>-4.260128265290164E-2</v>
      </c>
      <c r="DI152" s="8">
        <f t="shared" si="533"/>
        <v>3.287977303231715E-2</v>
      </c>
      <c r="DJ152" s="8">
        <f t="shared" si="533"/>
        <v>5.4390432568205416E-2</v>
      </c>
      <c r="DK152" s="8">
        <f t="shared" si="533"/>
        <v>3.9656633784783013E-2</v>
      </c>
      <c r="DL152" s="8">
        <f t="shared" si="533"/>
        <v>-6.1639695130419891E-3</v>
      </c>
      <c r="DM152" s="8" t="e">
        <f>#REF!/AW152-1</f>
        <v>#REF!</v>
      </c>
      <c r="DN152" s="8" t="e">
        <f>#REF!/AX152-1</f>
        <v>#REF!</v>
      </c>
    </row>
    <row r="153" spans="2:118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7"/>
      <c r="X153" s="7"/>
      <c r="Y153" s="7"/>
      <c r="Z153" s="7"/>
      <c r="AA153" s="8"/>
      <c r="AB153" s="7"/>
      <c r="AC153" s="7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</row>
    <row r="154" spans="2:118">
      <c r="B154" s="3" t="s">
        <v>28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8">
        <f t="shared" ref="S154:AV154" si="534">S140/S123</f>
        <v>0.45309091544954994</v>
      </c>
      <c r="T154" s="8">
        <f t="shared" si="534"/>
        <v>0.43741610453162966</v>
      </c>
      <c r="U154" s="8">
        <f t="shared" si="534"/>
        <v>0.44367674223691839</v>
      </c>
      <c r="V154" s="8">
        <f t="shared" ca="1" si="534"/>
        <v>0.3263107812351318</v>
      </c>
      <c r="W154" s="8">
        <f t="shared" si="534"/>
        <v>0.41610857123880579</v>
      </c>
      <c r="X154" s="8">
        <f t="shared" si="534"/>
        <v>0.39637583453569469</v>
      </c>
      <c r="Y154" s="8">
        <f t="shared" si="534"/>
        <v>0.39905270880685906</v>
      </c>
      <c r="Z154" s="8">
        <f t="shared" si="534"/>
        <v>0.42001295874798555</v>
      </c>
      <c r="AA154" s="8">
        <f t="shared" si="534"/>
        <v>0.29658351979040082</v>
      </c>
      <c r="AB154" s="8">
        <f t="shared" si="534"/>
        <v>0.24875087643941357</v>
      </c>
      <c r="AC154" s="8">
        <f t="shared" si="534"/>
        <v>0.28612268906500027</v>
      </c>
      <c r="AD154" s="8">
        <f t="shared" si="534"/>
        <v>0.24387109002493618</v>
      </c>
      <c r="AE154" s="8">
        <f t="shared" si="534"/>
        <v>0.36484716008987789</v>
      </c>
      <c r="AF154" s="8">
        <f t="shared" si="534"/>
        <v>0.36782557370520758</v>
      </c>
      <c r="AG154" s="8">
        <f t="shared" si="534"/>
        <v>0.35018582826311562</v>
      </c>
      <c r="AH154" s="8">
        <f t="shared" si="534"/>
        <v>0.33990255103275846</v>
      </c>
      <c r="AI154" s="8">
        <f t="shared" si="534"/>
        <v>0.42113503343030317</v>
      </c>
      <c r="AJ154" s="8">
        <f t="shared" si="534"/>
        <v>0.4155593589544111</v>
      </c>
      <c r="AK154" s="8">
        <f t="shared" si="534"/>
        <v>0.39400115865031371</v>
      </c>
      <c r="AL154" s="8">
        <f t="shared" si="534"/>
        <v>0.36132512357991503</v>
      </c>
      <c r="AM154" s="8">
        <f t="shared" si="534"/>
        <v>0.42451638373470191</v>
      </c>
      <c r="AN154" s="8">
        <f t="shared" si="534"/>
        <v>0.41120541877152261</v>
      </c>
      <c r="AO154" s="8">
        <f t="shared" si="534"/>
        <v>0.41460293082485444</v>
      </c>
      <c r="AP154" s="8">
        <f t="shared" si="534"/>
        <v>0.3758219635217786</v>
      </c>
      <c r="AQ154" s="8">
        <f t="shared" si="534"/>
        <v>0.4337287143037582</v>
      </c>
      <c r="AR154" s="8">
        <f t="shared" si="534"/>
        <v>0.39266034112300585</v>
      </c>
      <c r="AS154" s="8">
        <f t="shared" si="534"/>
        <v>0.39469413866546005</v>
      </c>
      <c r="AT154" s="8">
        <f t="shared" si="534"/>
        <v>0.35975878696678687</v>
      </c>
      <c r="AU154" s="8">
        <f t="shared" si="534"/>
        <v>0.36846751552844431</v>
      </c>
      <c r="AV154" s="8">
        <f t="shared" si="534"/>
        <v>0.3587432109233144</v>
      </c>
      <c r="AW154" s="8">
        <f t="shared" ref="AW154:AX154" si="535">AW140/AW123</f>
        <v>0.37592192137870928</v>
      </c>
      <c r="AX154" s="8">
        <f t="shared" si="535"/>
        <v>0.37717813092332902</v>
      </c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</row>
    <row r="155" spans="2:118">
      <c r="B155" s="3" t="s">
        <v>29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8">
        <f t="shared" ref="S155:AV155" si="536">S141/S124</f>
        <v>0.49694493783303728</v>
      </c>
      <c r="T155" s="8">
        <f t="shared" si="536"/>
        <v>0.50600121940597509</v>
      </c>
      <c r="U155" s="8">
        <f t="shared" si="536"/>
        <v>0.47755228079806489</v>
      </c>
      <c r="V155" s="8">
        <f t="shared" si="536"/>
        <v>0.47078077598594925</v>
      </c>
      <c r="W155" s="8">
        <f t="shared" si="536"/>
        <v>0.47803356100851674</v>
      </c>
      <c r="X155" s="8">
        <f t="shared" si="536"/>
        <v>0.47137212365383124</v>
      </c>
      <c r="Y155" s="8">
        <f t="shared" si="536"/>
        <v>0.48420954569450053</v>
      </c>
      <c r="Z155" s="8">
        <f t="shared" si="536"/>
        <v>0.40607360409871468</v>
      </c>
      <c r="AA155" s="8">
        <f t="shared" si="536"/>
        <v>0.44743012278645028</v>
      </c>
      <c r="AB155" s="8">
        <f t="shared" si="536"/>
        <v>0.5584195763613502</v>
      </c>
      <c r="AC155" s="8">
        <f t="shared" si="536"/>
        <v>0.40519185695122129</v>
      </c>
      <c r="AD155" s="8">
        <f t="shared" si="536"/>
        <v>0.43288012748020971</v>
      </c>
      <c r="AE155" s="8">
        <f t="shared" si="536"/>
        <v>0.12362436291535257</v>
      </c>
      <c r="AF155" s="8">
        <f t="shared" si="536"/>
        <v>0.16940461005243967</v>
      </c>
      <c r="AG155" s="8">
        <f t="shared" si="536"/>
        <v>0.17306373324891844</v>
      </c>
      <c r="AH155" s="8">
        <f t="shared" si="536"/>
        <v>0.12147980586138274</v>
      </c>
      <c r="AI155" s="8">
        <f t="shared" si="536"/>
        <v>0.17536929132747359</v>
      </c>
      <c r="AJ155" s="8">
        <f t="shared" si="536"/>
        <v>0.1867280213126665</v>
      </c>
      <c r="AK155" s="8">
        <f t="shared" si="536"/>
        <v>0.23653336864406779</v>
      </c>
      <c r="AL155" s="8">
        <f t="shared" si="536"/>
        <v>0.26578783399103251</v>
      </c>
      <c r="AM155" s="8">
        <f t="shared" si="536"/>
        <v>0.23477023541817535</v>
      </c>
      <c r="AN155" s="8">
        <f t="shared" si="536"/>
        <v>0.24449161340931638</v>
      </c>
      <c r="AO155" s="8">
        <f t="shared" si="536"/>
        <v>0.25831148885065303</v>
      </c>
      <c r="AP155" s="8">
        <f t="shared" si="536"/>
        <v>0.26530317024046646</v>
      </c>
      <c r="AQ155" s="8">
        <f t="shared" si="536"/>
        <v>0.22757940150541583</v>
      </c>
      <c r="AR155" s="8">
        <f t="shared" si="536"/>
        <v>0.2423999908536934</v>
      </c>
      <c r="AS155" s="8">
        <f t="shared" si="536"/>
        <v>0.26929659046030979</v>
      </c>
      <c r="AT155" s="8">
        <f t="shared" si="536"/>
        <v>0.27649132734118259</v>
      </c>
      <c r="AU155" s="8">
        <f t="shared" si="536"/>
        <v>0.24203170274416227</v>
      </c>
      <c r="AV155" s="8">
        <f t="shared" si="536"/>
        <v>0.22202034883720931</v>
      </c>
      <c r="AW155" s="8">
        <f t="shared" ref="AW155:AX155" si="537">AW141/AW124</f>
        <v>0.28806384380298267</v>
      </c>
      <c r="AX155" s="8">
        <f t="shared" si="537"/>
        <v>0.30159296001303704</v>
      </c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</row>
    <row r="156" spans="2:118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242"/>
      <c r="BO156" s="242"/>
      <c r="BP156" s="242"/>
      <c r="BQ156" s="242"/>
      <c r="BR156" s="242"/>
      <c r="BS156" s="242"/>
      <c r="BT156" s="242"/>
      <c r="BU156" s="242"/>
      <c r="BV156" s="242"/>
      <c r="BW156" s="10"/>
      <c r="BX156" s="10"/>
      <c r="BY156" s="10"/>
      <c r="CA156" s="10"/>
      <c r="CB156" s="10"/>
      <c r="CC156" s="10"/>
      <c r="CD156" s="10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</row>
    <row r="157" spans="2:118">
      <c r="B157" s="3" t="s">
        <v>718</v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242"/>
      <c r="O157" s="242"/>
      <c r="P157" s="242"/>
      <c r="Q157" s="242"/>
      <c r="R157" s="242"/>
      <c r="S157" s="242"/>
      <c r="T157" s="242"/>
      <c r="U157" s="242"/>
      <c r="V157" s="242"/>
      <c r="W157" s="8" t="e">
        <f t="shared" ref="W157:AV157" si="538">W149/W132</f>
        <v>#DIV/0!</v>
      </c>
      <c r="X157" s="8">
        <f t="shared" si="538"/>
        <v>0.38583624383524801</v>
      </c>
      <c r="Y157" s="8">
        <f t="shared" si="538"/>
        <v>0.39996107013863358</v>
      </c>
      <c r="Z157" s="8">
        <f t="shared" si="538"/>
        <v>0.27626150029830127</v>
      </c>
      <c r="AA157" s="8">
        <f t="shared" si="538"/>
        <v>0.30777555667346235</v>
      </c>
      <c r="AB157" s="8">
        <f t="shared" si="538"/>
        <v>0.25882647340179538</v>
      </c>
      <c r="AC157" s="8">
        <f t="shared" si="538"/>
        <v>0.28830475564016772</v>
      </c>
      <c r="AD157" s="8">
        <f t="shared" si="538"/>
        <v>0.24387109002493618</v>
      </c>
      <c r="AE157" s="8">
        <f t="shared" si="538"/>
        <v>0.36484716008987789</v>
      </c>
      <c r="AF157" s="8">
        <f t="shared" si="538"/>
        <v>0.36782557370520758</v>
      </c>
      <c r="AG157" s="8">
        <f t="shared" si="538"/>
        <v>0.35018582826311562</v>
      </c>
      <c r="AH157" s="8">
        <f t="shared" si="538"/>
        <v>0.33216070722533686</v>
      </c>
      <c r="AI157" s="8">
        <f t="shared" si="538"/>
        <v>0.41883918367910622</v>
      </c>
      <c r="AJ157" s="8">
        <f t="shared" si="538"/>
        <v>0.4155593589544111</v>
      </c>
      <c r="AK157" s="8">
        <f t="shared" si="538"/>
        <v>0.39400115865031371</v>
      </c>
      <c r="AL157" s="8">
        <f t="shared" si="538"/>
        <v>0.36132512357991503</v>
      </c>
      <c r="AM157" s="8">
        <f t="shared" si="538"/>
        <v>0.42451638373470191</v>
      </c>
      <c r="AN157" s="8">
        <f t="shared" si="538"/>
        <v>0.41120541877152261</v>
      </c>
      <c r="AO157" s="8">
        <f t="shared" si="538"/>
        <v>0.41460293082485444</v>
      </c>
      <c r="AP157" s="8">
        <f t="shared" si="538"/>
        <v>0.3758219635217786</v>
      </c>
      <c r="AQ157" s="8">
        <f t="shared" si="538"/>
        <v>0.4337287143037582</v>
      </c>
      <c r="AR157" s="8">
        <f t="shared" si="538"/>
        <v>0.39266034112300585</v>
      </c>
      <c r="AS157" s="8">
        <f t="shared" si="538"/>
        <v>0.39469413866546005</v>
      </c>
      <c r="AT157" s="8">
        <f t="shared" si="538"/>
        <v>0.35975878696678687</v>
      </c>
      <c r="AU157" s="8">
        <f t="shared" si="538"/>
        <v>0.36846751552844431</v>
      </c>
      <c r="AV157" s="8">
        <f t="shared" si="538"/>
        <v>0.3587432109233144</v>
      </c>
      <c r="AW157" s="8">
        <f t="shared" ref="AW157:AX157" si="539">AW149/AW132</f>
        <v>0.37592192137870928</v>
      </c>
      <c r="AX157" s="8">
        <f t="shared" si="539"/>
        <v>0.37717813092332902</v>
      </c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10"/>
      <c r="BX157" s="10"/>
      <c r="BY157" s="10"/>
      <c r="CA157" s="10"/>
      <c r="CB157" s="10"/>
      <c r="CC157" s="10"/>
      <c r="CD157" s="10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</row>
    <row r="158" spans="2:118">
      <c r="B158" s="95" t="s">
        <v>717</v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>
        <f t="shared" ref="W158:AV158" si="540">W150/W133</f>
        <v>0.30702959645450612</v>
      </c>
      <c r="X158" s="242">
        <f t="shared" si="540"/>
        <v>0.27889244335134494</v>
      </c>
      <c r="Y158" s="242">
        <f t="shared" si="540"/>
        <v>0.30123416326669</v>
      </c>
      <c r="Z158" s="242">
        <f t="shared" si="540"/>
        <v>0.29505934796837135</v>
      </c>
      <c r="AA158" s="242">
        <f t="shared" si="540"/>
        <v>0.3142810992304963</v>
      </c>
      <c r="AB158" s="242">
        <f t="shared" si="540"/>
        <v>0.29946039762564863</v>
      </c>
      <c r="AC158" s="242">
        <f t="shared" si="540"/>
        <v>0.28694441857843689</v>
      </c>
      <c r="AD158" s="242">
        <f t="shared" si="540"/>
        <v>0.2326703407356078</v>
      </c>
      <c r="AE158" s="242">
        <f t="shared" si="540"/>
        <v>0.26668334047925302</v>
      </c>
      <c r="AF158" s="242">
        <f t="shared" si="540"/>
        <v>0.2517061450702357</v>
      </c>
      <c r="AG158" s="242">
        <f t="shared" si="540"/>
        <v>0.22826394928562804</v>
      </c>
      <c r="AH158" s="242">
        <f t="shared" si="540"/>
        <v>0.13699239961603918</v>
      </c>
      <c r="AI158" s="242">
        <f t="shared" si="540"/>
        <v>0.23415646121930001</v>
      </c>
      <c r="AJ158" s="242">
        <f t="shared" si="540"/>
        <v>0.22180170526874926</v>
      </c>
      <c r="AK158" s="242">
        <f t="shared" si="540"/>
        <v>0.19427393290984063</v>
      </c>
      <c r="AL158" s="242">
        <f t="shared" si="540"/>
        <v>0.16721893765700702</v>
      </c>
      <c r="AM158" s="242">
        <f t="shared" si="540"/>
        <v>0.23635516247209035</v>
      </c>
      <c r="AN158" s="242">
        <f t="shared" si="540"/>
        <v>0.21473809425251797</v>
      </c>
      <c r="AO158" s="242">
        <f t="shared" si="540"/>
        <v>0.23119084586426186</v>
      </c>
      <c r="AP158" s="242">
        <f t="shared" si="540"/>
        <v>0.20593136033250878</v>
      </c>
      <c r="AQ158" s="242">
        <f t="shared" si="540"/>
        <v>0.23683245112939574</v>
      </c>
      <c r="AR158" s="242">
        <f t="shared" si="540"/>
        <v>0.2048821024202763</v>
      </c>
      <c r="AS158" s="242">
        <f t="shared" si="540"/>
        <v>0.23199342467568496</v>
      </c>
      <c r="AT158" s="242">
        <f t="shared" si="540"/>
        <v>0.22665670125365675</v>
      </c>
      <c r="AU158" s="242">
        <f t="shared" si="540"/>
        <v>0.20840527233325712</v>
      </c>
      <c r="AV158" s="242">
        <f t="shared" si="540"/>
        <v>0.20109745400062748</v>
      </c>
      <c r="AW158" s="242">
        <f t="shared" ref="AW158:AX158" si="541">AW150/AW133</f>
        <v>0.22155340568962914</v>
      </c>
      <c r="AX158" s="242">
        <f t="shared" si="541"/>
        <v>0.2487954264633721</v>
      </c>
      <c r="AY158" s="242">
        <f t="shared" ref="AY158:AZ158" si="542">AY150/AY133</f>
        <v>0.24872521246458923</v>
      </c>
      <c r="AZ158" s="242">
        <f t="shared" si="542"/>
        <v>0.24083561477343188</v>
      </c>
      <c r="BA158" s="242">
        <f t="shared" ref="BA158:BB158" si="543">BA150/BA133</f>
        <v>0.26278867294699171</v>
      </c>
      <c r="BB158" s="242">
        <f t="shared" si="543"/>
        <v>0.23229022348051323</v>
      </c>
      <c r="BC158" s="242"/>
      <c r="BD158" s="242"/>
      <c r="BE158" s="242"/>
      <c r="BF158" s="242"/>
      <c r="BG158" s="242"/>
      <c r="BH158" s="242"/>
      <c r="BI158" s="242"/>
      <c r="BJ158" s="242"/>
      <c r="BK158" s="242"/>
      <c r="BL158" s="242"/>
      <c r="BM158" s="242"/>
      <c r="BN158" s="242"/>
      <c r="BO158" s="242"/>
      <c r="BP158" s="242"/>
      <c r="BQ158" s="242"/>
      <c r="BR158" s="242"/>
      <c r="BS158" s="242"/>
      <c r="BT158" s="242"/>
      <c r="BU158" s="242"/>
      <c r="BV158" s="242"/>
      <c r="BW158" s="10"/>
      <c r="BX158" s="10"/>
      <c r="BY158" s="10"/>
      <c r="CA158" s="10"/>
      <c r="CB158" s="10"/>
      <c r="CC158" s="10"/>
      <c r="CD158" s="10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</row>
    <row r="159" spans="2:118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  <c r="AJ159" s="242"/>
      <c r="AK159" s="242"/>
      <c r="AL159" s="242"/>
      <c r="AM159" s="242"/>
      <c r="AN159" s="242"/>
      <c r="AO159" s="242"/>
      <c r="AP159" s="242"/>
      <c r="AQ159" s="242"/>
      <c r="AR159" s="242"/>
      <c r="AS159" s="242"/>
      <c r="AT159" s="242"/>
      <c r="AU159" s="242"/>
      <c r="AV159" s="242"/>
      <c r="AW159" s="242"/>
      <c r="AX159" s="242"/>
      <c r="AY159" s="242"/>
      <c r="AZ159" s="242"/>
      <c r="BA159" s="242"/>
      <c r="BB159" s="242"/>
      <c r="BC159" s="242"/>
      <c r="BD159" s="242"/>
      <c r="BE159" s="242"/>
      <c r="BF159" s="242"/>
      <c r="BG159" s="242"/>
      <c r="BH159" s="242"/>
      <c r="BI159" s="242"/>
      <c r="BJ159" s="242"/>
      <c r="BK159" s="242"/>
      <c r="BL159" s="242"/>
      <c r="BM159" s="242"/>
      <c r="BN159" s="242"/>
      <c r="BO159" s="242"/>
      <c r="BP159" s="242"/>
      <c r="BQ159" s="242"/>
      <c r="BR159" s="242"/>
      <c r="BS159" s="242"/>
      <c r="BT159" s="242"/>
      <c r="BU159" s="242"/>
      <c r="BV159" s="242"/>
      <c r="BW159" s="10"/>
      <c r="BX159" s="10"/>
      <c r="BY159" s="10"/>
      <c r="CA159" s="10"/>
      <c r="CB159" s="10"/>
      <c r="CC159" s="10"/>
      <c r="CD159" s="10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</row>
    <row r="160" spans="2:118">
      <c r="B160" s="364" t="s">
        <v>1052</v>
      </c>
      <c r="C160" s="321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156">
        <f t="shared" ref="AA160:AZ160" si="544">AA152/AA137</f>
        <v>0.31526784324878326</v>
      </c>
      <c r="AB160" s="156">
        <f t="shared" si="544"/>
        <v>0.30083038471764872</v>
      </c>
      <c r="AC160" s="156">
        <f t="shared" si="544"/>
        <v>0.3008562814894124</v>
      </c>
      <c r="AD160" s="156">
        <f t="shared" si="544"/>
        <v>0.27546006747024487</v>
      </c>
      <c r="AE160" s="156">
        <f t="shared" si="544"/>
        <v>0.31839948457241551</v>
      </c>
      <c r="AF160" s="156">
        <f t="shared" si="544"/>
        <v>0.33366088557157142</v>
      </c>
      <c r="AG160" s="156">
        <f t="shared" si="544"/>
        <v>0.31739057219990902</v>
      </c>
      <c r="AH160" s="156">
        <f t="shared" si="544"/>
        <v>0.29429175982231215</v>
      </c>
      <c r="AI160" s="156">
        <f t="shared" si="544"/>
        <v>0.35840373870401132</v>
      </c>
      <c r="AJ160" s="156">
        <f t="shared" si="544"/>
        <v>0.35569474161282505</v>
      </c>
      <c r="AK160" s="156">
        <f t="shared" si="544"/>
        <v>0.34378635642517186</v>
      </c>
      <c r="AL160" s="156">
        <f t="shared" si="544"/>
        <v>0.3233778170480282</v>
      </c>
      <c r="AM160" s="156">
        <f t="shared" si="544"/>
        <v>0.36986688041072946</v>
      </c>
      <c r="AN160" s="156">
        <f t="shared" si="544"/>
        <v>0.35631233276575042</v>
      </c>
      <c r="AO160" s="156">
        <f t="shared" si="544"/>
        <v>0.35994088596228674</v>
      </c>
      <c r="AP160" s="156">
        <f t="shared" si="544"/>
        <v>0.33232885703272319</v>
      </c>
      <c r="AQ160" s="156">
        <f t="shared" si="544"/>
        <v>0.36845498154082013</v>
      </c>
      <c r="AR160" s="156">
        <f t="shared" si="544"/>
        <v>0.34297945017408593</v>
      </c>
      <c r="AS160" s="156">
        <f t="shared" si="544"/>
        <v>0.35426525839807599</v>
      </c>
      <c r="AT160" s="156">
        <f t="shared" si="544"/>
        <v>0.33005199214812458</v>
      </c>
      <c r="AU160" s="156">
        <f t="shared" si="544"/>
        <v>0.32674487619664272</v>
      </c>
      <c r="AV160" s="156">
        <f t="shared" si="544"/>
        <v>0.31358810139825538</v>
      </c>
      <c r="AW160" s="156">
        <f t="shared" si="544"/>
        <v>0.34585316927771265</v>
      </c>
      <c r="AX160" s="156">
        <f t="shared" ref="AX160" si="545">AX152/AX137</f>
        <v>0.34748351998961718</v>
      </c>
      <c r="AY160" s="423">
        <f t="shared" si="544"/>
        <v>0.35610394718689181</v>
      </c>
      <c r="AZ160" s="423">
        <f t="shared" si="544"/>
        <v>0.34085702038342719</v>
      </c>
      <c r="BA160" s="423">
        <f t="shared" ref="BA160:BB160" si="546">BA152/BA137</f>
        <v>0.35078167123674747</v>
      </c>
      <c r="BB160" s="423">
        <f t="shared" si="546"/>
        <v>0.25364717558887717</v>
      </c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8"/>
      <c r="BO160" s="8"/>
      <c r="BP160" s="8"/>
      <c r="BQ160" s="8"/>
      <c r="BR160" s="8"/>
      <c r="BS160" s="8"/>
      <c r="BT160" s="8"/>
      <c r="BU160" s="8"/>
      <c r="BV160" s="8"/>
      <c r="BW160" s="10"/>
      <c r="BX160" s="10"/>
      <c r="BY160" s="10"/>
      <c r="CA160" s="10"/>
      <c r="CB160" s="10"/>
      <c r="CC160" s="10"/>
      <c r="CD160" s="10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</row>
    <row r="161" spans="2:113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8"/>
      <c r="W161" s="8"/>
      <c r="X161" s="8"/>
      <c r="Y161" s="8"/>
      <c r="Z161" s="8"/>
      <c r="AA161" s="8"/>
      <c r="AB161" s="8"/>
      <c r="AC161" s="8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10"/>
      <c r="BX161" s="10"/>
      <c r="BY161" s="10"/>
      <c r="CA161" s="10"/>
      <c r="CB161" s="10"/>
      <c r="CC161" s="10"/>
      <c r="CD161" s="10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</row>
    <row r="162" spans="2:113">
      <c r="B162" s="3" t="s">
        <v>667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7">
        <f t="shared" ref="Z162:BB162" si="547">(Z150-Z143-Z142)</f>
        <v>116084</v>
      </c>
      <c r="AA162" s="7">
        <f t="shared" si="547"/>
        <v>117506</v>
      </c>
      <c r="AB162" s="7">
        <f t="shared" si="547"/>
        <v>117668</v>
      </c>
      <c r="AC162" s="7">
        <f t="shared" si="547"/>
        <v>117457</v>
      </c>
      <c r="AD162" s="7">
        <f t="shared" si="547"/>
        <v>116275</v>
      </c>
      <c r="AE162" s="7">
        <f t="shared" si="547"/>
        <v>120383.34272250001</v>
      </c>
      <c r="AF162" s="7">
        <f t="shared" si="547"/>
        <v>121877.31265538461</v>
      </c>
      <c r="AG162" s="7">
        <f t="shared" si="547"/>
        <v>114901.10016666667</v>
      </c>
      <c r="AH162" s="7">
        <f t="shared" si="547"/>
        <v>112101.61715151515</v>
      </c>
      <c r="AI162" s="7">
        <f t="shared" si="547"/>
        <v>135282</v>
      </c>
      <c r="AJ162" s="7">
        <f t="shared" si="547"/>
        <v>134989</v>
      </c>
      <c r="AK162" s="7">
        <f t="shared" si="547"/>
        <v>130020</v>
      </c>
      <c r="AL162" s="7">
        <f t="shared" si="547"/>
        <v>127363</v>
      </c>
      <c r="AM162" s="7">
        <f t="shared" si="547"/>
        <v>138895</v>
      </c>
      <c r="AN162" s="7">
        <f t="shared" si="547"/>
        <v>131832</v>
      </c>
      <c r="AO162" s="7">
        <f t="shared" si="547"/>
        <v>134687</v>
      </c>
      <c r="AP162" s="7">
        <f t="shared" si="547"/>
        <v>127597</v>
      </c>
      <c r="AQ162" s="7">
        <f t="shared" si="547"/>
        <v>136031</v>
      </c>
      <c r="AR162" s="7">
        <f t="shared" si="547"/>
        <v>124909</v>
      </c>
      <c r="AS162" s="7">
        <f t="shared" si="547"/>
        <v>127860</v>
      </c>
      <c r="AT162" s="7">
        <f t="shared" si="547"/>
        <v>124423</v>
      </c>
      <c r="AU162" s="7">
        <f t="shared" si="547"/>
        <v>115057</v>
      </c>
      <c r="AV162" s="7">
        <f t="shared" si="547"/>
        <v>110902</v>
      </c>
      <c r="AW162" s="7">
        <f t="shared" si="547"/>
        <v>122413</v>
      </c>
      <c r="AX162" s="7">
        <f t="shared" si="547"/>
        <v>128514</v>
      </c>
      <c r="AY162" s="7">
        <f t="shared" si="547"/>
        <v>125107</v>
      </c>
      <c r="AZ162" s="7">
        <f t="shared" si="547"/>
        <v>117068.773</v>
      </c>
      <c r="BA162" s="7">
        <f t="shared" si="547"/>
        <v>126558.183</v>
      </c>
      <c r="BB162" s="7">
        <f t="shared" si="547"/>
        <v>123022.5</v>
      </c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10"/>
      <c r="BX162" s="10"/>
      <c r="BY162" s="10"/>
      <c r="CA162" s="10"/>
      <c r="CB162" s="10"/>
      <c r="CC162" s="10"/>
      <c r="CD162" s="8" t="e">
        <f t="shared" ref="CD162:DI162" si="548">S162/O162-1</f>
        <v>#DIV/0!</v>
      </c>
      <c r="CE162" s="8" t="e">
        <f t="shared" si="548"/>
        <v>#DIV/0!</v>
      </c>
      <c r="CF162" s="8" t="e">
        <f t="shared" si="548"/>
        <v>#DIV/0!</v>
      </c>
      <c r="CG162" s="8" t="e">
        <f t="shared" si="548"/>
        <v>#DIV/0!</v>
      </c>
      <c r="CH162" s="8" t="e">
        <f t="shared" si="548"/>
        <v>#DIV/0!</v>
      </c>
      <c r="CI162" s="8" t="e">
        <f t="shared" si="548"/>
        <v>#DIV/0!</v>
      </c>
      <c r="CJ162" s="8" t="e">
        <f t="shared" si="548"/>
        <v>#DIV/0!</v>
      </c>
      <c r="CK162" s="8" t="e">
        <f t="shared" si="548"/>
        <v>#DIV/0!</v>
      </c>
      <c r="CL162" s="8" t="e">
        <f t="shared" si="548"/>
        <v>#DIV/0!</v>
      </c>
      <c r="CM162" s="8" t="e">
        <f t="shared" si="548"/>
        <v>#DIV/0!</v>
      </c>
      <c r="CN162" s="8" t="e">
        <f t="shared" si="548"/>
        <v>#DIV/0!</v>
      </c>
      <c r="CO162" s="8">
        <f t="shared" si="548"/>
        <v>1.6453602563661907E-3</v>
      </c>
      <c r="CP162" s="8">
        <f t="shared" si="548"/>
        <v>2.4486772781815436E-2</v>
      </c>
      <c r="CQ162" s="8">
        <f t="shared" si="548"/>
        <v>3.5772790014146683E-2</v>
      </c>
      <c r="CR162" s="8">
        <f t="shared" si="548"/>
        <v>-2.1760302351782612E-2</v>
      </c>
      <c r="CS162" s="8">
        <f t="shared" si="548"/>
        <v>-3.5892348729175239E-2</v>
      </c>
      <c r="CT162" s="8">
        <f t="shared" si="548"/>
        <v>0.12376012279243165</v>
      </c>
      <c r="CU162" s="8">
        <f t="shared" si="548"/>
        <v>0.10758103422980336</v>
      </c>
      <c r="CV162" s="8">
        <f t="shared" si="548"/>
        <v>0.13158185440699022</v>
      </c>
      <c r="CW162" s="8">
        <f t="shared" si="548"/>
        <v>0.1361388286473848</v>
      </c>
      <c r="CX162" s="8">
        <f t="shared" si="548"/>
        <v>2.6707174642598419E-2</v>
      </c>
      <c r="CY162" s="8">
        <f t="shared" si="548"/>
        <v>-2.3387090799991128E-2</v>
      </c>
      <c r="CZ162" s="8">
        <f t="shared" si="548"/>
        <v>3.5894477772650424E-2</v>
      </c>
      <c r="DA162" s="8">
        <f t="shared" si="548"/>
        <v>1.8372682804268514E-3</v>
      </c>
      <c r="DB162" s="8">
        <f t="shared" si="548"/>
        <v>-2.061989272472009E-2</v>
      </c>
      <c r="DC162" s="8">
        <f t="shared" si="548"/>
        <v>-5.2513805449359796E-2</v>
      </c>
      <c r="DD162" s="8">
        <f t="shared" si="548"/>
        <v>-5.0687891184746814E-2</v>
      </c>
      <c r="DE162" s="8">
        <f t="shared" si="548"/>
        <v>-2.4875192990430839E-2</v>
      </c>
      <c r="DF162" s="8">
        <f t="shared" si="548"/>
        <v>-0.1541854430240166</v>
      </c>
      <c r="DG162" s="8">
        <f t="shared" si="548"/>
        <v>-0.11213763619915296</v>
      </c>
      <c r="DH162" s="8">
        <f t="shared" si="548"/>
        <v>-4.260128265290164E-2</v>
      </c>
      <c r="DI162" s="8">
        <f t="shared" si="548"/>
        <v>3.287977303231715E-2</v>
      </c>
    </row>
    <row r="163" spans="2:113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10"/>
      <c r="BX163" s="10"/>
      <c r="BY163" s="10"/>
      <c r="CA163" s="10"/>
      <c r="CB163" s="10"/>
      <c r="CC163" s="10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</row>
    <row r="164" spans="2:113">
      <c r="B164" s="3" t="s">
        <v>137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>
        <v>32439</v>
      </c>
      <c r="P164" s="3">
        <f>92516-O164</f>
        <v>60077</v>
      </c>
      <c r="Q164" s="3">
        <f>132004-O164-P164</f>
        <v>39488</v>
      </c>
      <c r="R164" s="3">
        <f>'Master old'!L251-Q164-P164-O164</f>
        <v>68372</v>
      </c>
      <c r="S164" s="3">
        <v>39534</v>
      </c>
      <c r="T164" s="3">
        <f>95767-S164</f>
        <v>56233</v>
      </c>
      <c r="U164" s="3">
        <f>138905-S164-T164</f>
        <v>43138</v>
      </c>
      <c r="V164" s="3">
        <f>246100-S164-T164-U164</f>
        <v>107195</v>
      </c>
      <c r="W164" s="3">
        <v>35042</v>
      </c>
      <c r="X164" s="3">
        <f>111565-W164</f>
        <v>76523</v>
      </c>
      <c r="Y164" s="3">
        <f>163693-W164-X164</f>
        <v>52128</v>
      </c>
      <c r="Z164" s="3">
        <f>253246-W164-X164-Y164</f>
        <v>89553</v>
      </c>
      <c r="AA164" s="3">
        <v>47628</v>
      </c>
      <c r="AB164" s="3">
        <f>148492-AA164</f>
        <v>100864</v>
      </c>
      <c r="AC164" s="7">
        <f>297976-AA164-AB164-(105*AC63)</f>
        <v>96262.9840909091</v>
      </c>
      <c r="AD164" s="7">
        <f>420384-AA164-AB164-AC164-(105*AD63)</f>
        <v>121370.53636363638</v>
      </c>
      <c r="AE164" s="7">
        <v>111840</v>
      </c>
      <c r="AF164" s="7">
        <f>216245-AE164</f>
        <v>104405</v>
      </c>
      <c r="AG164" s="7">
        <f>343280-AE164-AF164</f>
        <v>127035</v>
      </c>
      <c r="AH164" s="7">
        <f>513920-AE164-AF164-AG164</f>
        <v>170640</v>
      </c>
      <c r="AI164" s="7">
        <v>79057</v>
      </c>
      <c r="AJ164" s="7">
        <f>174760-AI164</f>
        <v>95703</v>
      </c>
      <c r="AK164" s="7">
        <f>279178-AI164-AJ164</f>
        <v>104418</v>
      </c>
      <c r="AL164" s="7">
        <f>433263-AI164-AJ164-AK164</f>
        <v>154085</v>
      </c>
      <c r="AM164" s="7">
        <v>59787</v>
      </c>
      <c r="AN164" s="7">
        <f>142001-AM164</f>
        <v>82214</v>
      </c>
      <c r="AO164" s="7">
        <f>241566-AM164-AN164</f>
        <v>99565</v>
      </c>
      <c r="AP164" s="7">
        <f>360499-AM164-AN164-AO164</f>
        <v>118933</v>
      </c>
      <c r="AQ164" s="7">
        <v>84594</v>
      </c>
      <c r="AR164" s="7">
        <f>167717-AQ164</f>
        <v>83123</v>
      </c>
      <c r="AS164" s="7">
        <f>269261-AQ164-AR164</f>
        <v>101544</v>
      </c>
      <c r="AT164" s="7">
        <f>387011-AQ164-AR164-AS164</f>
        <v>117750</v>
      </c>
      <c r="AU164" s="7">
        <v>90094</v>
      </c>
      <c r="AV164" s="7">
        <f>202291-AU164</f>
        <v>112197</v>
      </c>
      <c r="AW164" s="7">
        <f>316452-AU164-AV164</f>
        <v>114161</v>
      </c>
      <c r="AX164" s="7">
        <f>432021-AU164-AV164-AW164</f>
        <v>115569</v>
      </c>
      <c r="AY164" s="7">
        <v>113277</v>
      </c>
      <c r="AZ164" s="7">
        <f>217040-AY164</f>
        <v>103763</v>
      </c>
      <c r="BA164" s="7">
        <v>63724</v>
      </c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269"/>
      <c r="BX164" s="269"/>
      <c r="BY164" s="269"/>
      <c r="BZ164" s="269">
        <f>SUM(AA164:AD164)/495</f>
        <v>739.64751606978894</v>
      </c>
      <c r="CA164" s="10"/>
      <c r="CB164" s="10"/>
      <c r="CC164" s="8" t="e">
        <f t="shared" ref="CC164:DI164" si="549">R164/N164-1</f>
        <v>#DIV/0!</v>
      </c>
      <c r="CD164" s="8">
        <f t="shared" si="549"/>
        <v>0.21871820956256349</v>
      </c>
      <c r="CE164" s="8">
        <f t="shared" si="549"/>
        <v>-6.3984553156782087E-2</v>
      </c>
      <c r="CF164" s="8">
        <f t="shared" si="549"/>
        <v>9.2433144246353294E-2</v>
      </c>
      <c r="CG164" s="8">
        <f t="shared" si="549"/>
        <v>0.56782016029953786</v>
      </c>
      <c r="CH164" s="8">
        <f t="shared" si="549"/>
        <v>-0.11362371629483481</v>
      </c>
      <c r="CI164" s="8">
        <f t="shared" si="549"/>
        <v>0.36082015898138109</v>
      </c>
      <c r="CJ164" s="8">
        <f t="shared" si="549"/>
        <v>0.20840094580184521</v>
      </c>
      <c r="CK164" s="8">
        <f t="shared" si="549"/>
        <v>-0.16457857176174262</v>
      </c>
      <c r="CL164" s="8">
        <f t="shared" si="549"/>
        <v>0.35916899720335604</v>
      </c>
      <c r="CM164" s="8">
        <f t="shared" si="549"/>
        <v>0.318087372423977</v>
      </c>
      <c r="CN164" s="8">
        <f t="shared" si="549"/>
        <v>0.84666559413192721</v>
      </c>
      <c r="CO164" s="8">
        <f t="shared" si="549"/>
        <v>0.35529280273844965</v>
      </c>
      <c r="CP164" s="8">
        <f t="shared" si="549"/>
        <v>1.3481985386747293</v>
      </c>
      <c r="CQ164" s="8">
        <f t="shared" si="549"/>
        <v>3.5106678299492433E-2</v>
      </c>
      <c r="CR164" s="8">
        <f t="shared" si="549"/>
        <v>0.3196661333501809</v>
      </c>
      <c r="CS164" s="8">
        <f t="shared" si="549"/>
        <v>0.40594253854780815</v>
      </c>
      <c r="CT164" s="8">
        <f t="shared" si="549"/>
        <v>-0.29312410586552218</v>
      </c>
      <c r="CU164" s="8">
        <f t="shared" si="549"/>
        <v>-8.3348498635122836E-2</v>
      </c>
      <c r="CV164" s="8">
        <f t="shared" si="549"/>
        <v>-0.17803754870704924</v>
      </c>
      <c r="CW164" s="8">
        <f t="shared" si="549"/>
        <v>-9.7017112048757626E-2</v>
      </c>
      <c r="CX164" s="8">
        <f t="shared" si="549"/>
        <v>-0.24374818169169077</v>
      </c>
      <c r="CY164" s="8">
        <f t="shared" si="549"/>
        <v>-0.14094646980763403</v>
      </c>
      <c r="CZ164" s="8">
        <f t="shared" si="549"/>
        <v>-4.6476661112068829E-2</v>
      </c>
      <c r="DA164" s="8">
        <f t="shared" si="549"/>
        <v>-0.2281338222409709</v>
      </c>
      <c r="DB164" s="8">
        <f t="shared" si="549"/>
        <v>0.4149229765668121</v>
      </c>
      <c r="DC164" s="8">
        <f t="shared" si="549"/>
        <v>1.1056511056511065E-2</v>
      </c>
      <c r="DD164" s="8">
        <f t="shared" si="549"/>
        <v>1.9876462612363754E-2</v>
      </c>
      <c r="DE164" s="8">
        <f t="shared" si="549"/>
        <v>-9.9467767566613352E-3</v>
      </c>
      <c r="DF164" s="8">
        <f t="shared" si="549"/>
        <v>6.5016431425396704E-2</v>
      </c>
      <c r="DG164" s="8">
        <f t="shared" si="549"/>
        <v>0.34977082155360129</v>
      </c>
      <c r="DH164" s="8">
        <f t="shared" si="549"/>
        <v>0.12425155597573467</v>
      </c>
      <c r="DI164" s="8">
        <f t="shared" si="549"/>
        <v>-1.8522292993630618E-2</v>
      </c>
    </row>
    <row r="165" spans="2:113">
      <c r="B165" s="2" t="s">
        <v>180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>
        <v>20527</v>
      </c>
      <c r="P165" s="2">
        <f>42901-O165</f>
        <v>22374</v>
      </c>
      <c r="Q165" s="2">
        <f>64049-P165-O165</f>
        <v>21148</v>
      </c>
      <c r="R165" s="2">
        <f>'Master old'!L254-Q165-P165-O165</f>
        <v>26316</v>
      </c>
      <c r="S165" s="2">
        <v>23565</v>
      </c>
      <c r="T165" s="2">
        <f>50658-S165</f>
        <v>27093</v>
      </c>
      <c r="U165" s="2">
        <f>79185-T165-S165</f>
        <v>28527</v>
      </c>
      <c r="V165" s="2">
        <f>112326-S165-T165-U165</f>
        <v>33141</v>
      </c>
      <c r="W165" s="2">
        <v>40476</v>
      </c>
      <c r="X165" s="2">
        <f>85836-W165</f>
        <v>45360</v>
      </c>
      <c r="Y165" s="2">
        <f>127679-W165-X165</f>
        <v>41843</v>
      </c>
      <c r="Z165" s="2">
        <v>0</v>
      </c>
      <c r="AA165" s="2">
        <v>0</v>
      </c>
      <c r="AB165" s="2">
        <v>0</v>
      </c>
      <c r="AC165" s="2">
        <v>0</v>
      </c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3"/>
      <c r="BC165" s="3"/>
      <c r="BD165" s="3"/>
      <c r="BE165" s="3"/>
      <c r="BF165" s="3"/>
      <c r="BG165" s="3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269"/>
      <c r="BX165" s="269"/>
      <c r="BY165" s="269"/>
      <c r="BZ165" s="269">
        <f>BZ164-'Master old'!O261</f>
        <v>121.00814225659008</v>
      </c>
      <c r="CA165" s="10"/>
      <c r="CB165" s="10"/>
      <c r="CC165" s="8" t="e">
        <f t="shared" ref="CC165:CL166" si="550">R165/N165-1</f>
        <v>#DIV/0!</v>
      </c>
      <c r="CD165" s="8">
        <f t="shared" si="550"/>
        <v>0.14800019486529936</v>
      </c>
      <c r="CE165" s="8">
        <f t="shared" si="550"/>
        <v>0.21091445427728606</v>
      </c>
      <c r="CF165" s="8">
        <f t="shared" si="550"/>
        <v>0.34892188386608658</v>
      </c>
      <c r="CG165" s="8">
        <f t="shared" si="550"/>
        <v>0.25934792521659822</v>
      </c>
      <c r="CH165" s="8">
        <f t="shared" si="550"/>
        <v>0.71763208147676649</v>
      </c>
      <c r="CI165" s="8">
        <f t="shared" si="550"/>
        <v>0.67423319676669258</v>
      </c>
      <c r="CJ165" s="8">
        <f t="shared" si="550"/>
        <v>0.46678585199985978</v>
      </c>
      <c r="CK165" s="8">
        <f t="shared" si="550"/>
        <v>-1</v>
      </c>
      <c r="CL165" s="8">
        <f t="shared" si="550"/>
        <v>-1</v>
      </c>
      <c r="CM165" s="8">
        <f t="shared" ref="CM165:CS166" si="551">AB165/X165-1</f>
        <v>-1</v>
      </c>
      <c r="CN165" s="8">
        <f t="shared" si="551"/>
        <v>-1</v>
      </c>
      <c r="CO165" s="8" t="e">
        <f t="shared" si="551"/>
        <v>#DIV/0!</v>
      </c>
      <c r="CP165" s="8" t="e">
        <f t="shared" si="551"/>
        <v>#DIV/0!</v>
      </c>
      <c r="CQ165" s="8" t="e">
        <f t="shared" si="551"/>
        <v>#DIV/0!</v>
      </c>
      <c r="CR165" s="8" t="e">
        <f t="shared" si="551"/>
        <v>#DIV/0!</v>
      </c>
      <c r="CS165" s="8" t="e">
        <f t="shared" si="551"/>
        <v>#DIV/0!</v>
      </c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</row>
    <row r="166" spans="2:113">
      <c r="B166" s="3" t="s">
        <v>68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>
        <f>O164+O165</f>
        <v>52966</v>
      </c>
      <c r="P166" s="3">
        <f t="shared" ref="P166:V166" si="552">P164+P165</f>
        <v>82451</v>
      </c>
      <c r="Q166" s="3">
        <f t="shared" si="552"/>
        <v>60636</v>
      </c>
      <c r="R166" s="3">
        <f t="shared" si="552"/>
        <v>94688</v>
      </c>
      <c r="S166" s="3">
        <f t="shared" si="552"/>
        <v>63099</v>
      </c>
      <c r="T166" s="3">
        <f t="shared" si="552"/>
        <v>83326</v>
      </c>
      <c r="U166" s="3">
        <f t="shared" si="552"/>
        <v>71665</v>
      </c>
      <c r="V166" s="3">
        <f t="shared" si="552"/>
        <v>140336</v>
      </c>
      <c r="W166" s="3">
        <f t="shared" ref="W166:AL166" si="553">W164+W165</f>
        <v>75518</v>
      </c>
      <c r="X166" s="3">
        <f t="shared" si="553"/>
        <v>121883</v>
      </c>
      <c r="Y166" s="3">
        <f t="shared" si="553"/>
        <v>93971</v>
      </c>
      <c r="Z166" s="3">
        <f t="shared" si="553"/>
        <v>89553</v>
      </c>
      <c r="AA166" s="3">
        <f t="shared" si="553"/>
        <v>47628</v>
      </c>
      <c r="AB166" s="3">
        <f t="shared" si="553"/>
        <v>100864</v>
      </c>
      <c r="AC166" s="7">
        <f t="shared" si="553"/>
        <v>96262.9840909091</v>
      </c>
      <c r="AD166" s="7">
        <f t="shared" si="553"/>
        <v>121370.53636363638</v>
      </c>
      <c r="AE166" s="7">
        <f t="shared" si="553"/>
        <v>111840</v>
      </c>
      <c r="AF166" s="7">
        <f t="shared" si="553"/>
        <v>104405</v>
      </c>
      <c r="AG166" s="7">
        <f t="shared" si="553"/>
        <v>127035</v>
      </c>
      <c r="AH166" s="7">
        <f t="shared" si="553"/>
        <v>170640</v>
      </c>
      <c r="AI166" s="7">
        <f t="shared" si="553"/>
        <v>79057</v>
      </c>
      <c r="AJ166" s="7">
        <f t="shared" si="553"/>
        <v>95703</v>
      </c>
      <c r="AK166" s="7">
        <f t="shared" si="553"/>
        <v>104418</v>
      </c>
      <c r="AL166" s="7">
        <f t="shared" si="553"/>
        <v>154085</v>
      </c>
      <c r="AM166" s="7">
        <f t="shared" ref="AM166:AN166" si="554">AM164+AM165</f>
        <v>59787</v>
      </c>
      <c r="AN166" s="7">
        <f t="shared" si="554"/>
        <v>82214</v>
      </c>
      <c r="AO166" s="7">
        <f t="shared" ref="AO166:AP166" si="555">AO164+AO165</f>
        <v>99565</v>
      </c>
      <c r="AP166" s="7">
        <f t="shared" si="555"/>
        <v>118933</v>
      </c>
      <c r="AQ166" s="7">
        <f t="shared" ref="AQ166:AS166" si="556">AQ164+AQ165</f>
        <v>84594</v>
      </c>
      <c r="AR166" s="7">
        <f t="shared" si="556"/>
        <v>83123</v>
      </c>
      <c r="AS166" s="7">
        <f t="shared" si="556"/>
        <v>101544</v>
      </c>
      <c r="AT166" s="7">
        <f t="shared" ref="AT166:AU166" si="557">AT164+AT165</f>
        <v>117750</v>
      </c>
      <c r="AU166" s="7">
        <f t="shared" si="557"/>
        <v>90094</v>
      </c>
      <c r="AV166" s="7">
        <f t="shared" ref="AV166:AX166" si="558">AV164+AV165</f>
        <v>112197</v>
      </c>
      <c r="AW166" s="7">
        <f t="shared" si="558"/>
        <v>114161</v>
      </c>
      <c r="AX166" s="7">
        <f t="shared" si="558"/>
        <v>115569</v>
      </c>
      <c r="AY166" s="7">
        <f>AY164+AY165</f>
        <v>113277</v>
      </c>
      <c r="AZ166" s="7">
        <f>AZ164+AZ165</f>
        <v>103763</v>
      </c>
      <c r="BA166" s="7">
        <f>BA164+BA165</f>
        <v>63724</v>
      </c>
      <c r="BB166" s="7"/>
      <c r="BC166" s="7"/>
      <c r="BD166" s="7"/>
      <c r="BE166" s="7"/>
      <c r="BF166" s="7"/>
      <c r="BG166" s="7"/>
      <c r="BH166" s="269"/>
      <c r="BI166" s="269"/>
      <c r="BJ166" s="269"/>
      <c r="BK166" s="269"/>
      <c r="BL166" s="269"/>
      <c r="BM166" s="269"/>
      <c r="BN166" s="269"/>
      <c r="BO166" s="269"/>
      <c r="BP166" s="269"/>
      <c r="BQ166" s="269"/>
      <c r="BR166" s="269"/>
      <c r="BS166" s="269"/>
      <c r="BT166" s="269"/>
      <c r="BU166" s="269"/>
      <c r="BV166" s="269"/>
      <c r="BW166" s="10"/>
      <c r="BX166" s="10"/>
      <c r="BY166" s="10"/>
      <c r="CA166" s="10"/>
      <c r="CB166" s="10"/>
      <c r="CC166" s="8" t="e">
        <f t="shared" si="550"/>
        <v>#DIV/0!</v>
      </c>
      <c r="CD166" s="8">
        <f t="shared" si="550"/>
        <v>0.19131140731790208</v>
      </c>
      <c r="CE166" s="8">
        <f t="shared" si="550"/>
        <v>1.0612363706928862E-2</v>
      </c>
      <c r="CF166" s="8">
        <f t="shared" si="550"/>
        <v>0.18188864700837781</v>
      </c>
      <c r="CG166" s="8">
        <f t="shared" si="550"/>
        <v>0.48208854342683338</v>
      </c>
      <c r="CH166" s="8">
        <f t="shared" si="550"/>
        <v>0.19681769917114367</v>
      </c>
      <c r="CI166" s="8">
        <f t="shared" si="550"/>
        <v>0.46272471977534013</v>
      </c>
      <c r="CJ166" s="8">
        <f t="shared" si="550"/>
        <v>0.31125375008721123</v>
      </c>
      <c r="CK166" s="8">
        <f t="shared" si="550"/>
        <v>-0.36186723292669021</v>
      </c>
      <c r="CL166" s="8">
        <f t="shared" si="550"/>
        <v>-0.36931592468020868</v>
      </c>
      <c r="CM166" s="8">
        <f t="shared" si="551"/>
        <v>-0.17245226979972594</v>
      </c>
      <c r="CN166" s="8">
        <f t="shared" si="551"/>
        <v>2.4390334155314886E-2</v>
      </c>
      <c r="CO166" s="8">
        <f t="shared" si="551"/>
        <v>0.35529280273844965</v>
      </c>
      <c r="CP166" s="8">
        <f t="shared" si="551"/>
        <v>1.3481985386747293</v>
      </c>
      <c r="CQ166" s="8">
        <f t="shared" si="551"/>
        <v>3.5106678299492433E-2</v>
      </c>
      <c r="CR166" s="8">
        <f t="shared" si="551"/>
        <v>0.3196661333501809</v>
      </c>
      <c r="CS166" s="8">
        <f t="shared" si="551"/>
        <v>0.40594253854780815</v>
      </c>
      <c r="CT166" s="8">
        <f t="shared" ref="CT166:DI166" si="559">AI166/AE166-1</f>
        <v>-0.29312410586552218</v>
      </c>
      <c r="CU166" s="8">
        <f t="shared" si="559"/>
        <v>-8.3348498635122836E-2</v>
      </c>
      <c r="CV166" s="8">
        <f t="shared" si="559"/>
        <v>-0.17803754870704924</v>
      </c>
      <c r="CW166" s="8">
        <f t="shared" si="559"/>
        <v>-9.7017112048757626E-2</v>
      </c>
      <c r="CX166" s="8">
        <f t="shared" si="559"/>
        <v>-0.24374818169169077</v>
      </c>
      <c r="CY166" s="8">
        <f t="shared" si="559"/>
        <v>-0.14094646980763403</v>
      </c>
      <c r="CZ166" s="8">
        <f t="shared" si="559"/>
        <v>-4.6476661112068829E-2</v>
      </c>
      <c r="DA166" s="8">
        <f t="shared" si="559"/>
        <v>-0.2281338222409709</v>
      </c>
      <c r="DB166" s="8">
        <f t="shared" si="559"/>
        <v>0.4149229765668121</v>
      </c>
      <c r="DC166" s="8">
        <f t="shared" si="559"/>
        <v>1.1056511056511065E-2</v>
      </c>
      <c r="DD166" s="8">
        <f t="shared" si="559"/>
        <v>1.9876462612363754E-2</v>
      </c>
      <c r="DE166" s="8">
        <f t="shared" si="559"/>
        <v>-9.9467767566613352E-3</v>
      </c>
      <c r="DF166" s="8">
        <f t="shared" si="559"/>
        <v>6.5016431425396704E-2</v>
      </c>
      <c r="DG166" s="8">
        <f t="shared" si="559"/>
        <v>0.34977082155360129</v>
      </c>
      <c r="DH166" s="8">
        <f t="shared" si="559"/>
        <v>0.12425155597573467</v>
      </c>
      <c r="DI166" s="8">
        <f t="shared" si="559"/>
        <v>-1.8522292993630618E-2</v>
      </c>
    </row>
    <row r="167" spans="2:113">
      <c r="B167" s="3" t="s">
        <v>85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5">
        <f t="shared" ref="O167:Y167" si="560">O166/O128</f>
        <v>0.20770084427730567</v>
      </c>
      <c r="P167" s="5">
        <f t="shared" si="560"/>
        <v>0.30897535347176158</v>
      </c>
      <c r="Q167" s="5">
        <f t="shared" si="560"/>
        <v>0.22714110723610523</v>
      </c>
      <c r="R167" s="5">
        <f t="shared" si="560"/>
        <v>0.31443913486731778</v>
      </c>
      <c r="S167" s="5">
        <f t="shared" si="560"/>
        <v>0.21453561313617958</v>
      </c>
      <c r="T167" s="5">
        <f t="shared" si="560"/>
        <v>0.27622763602369577</v>
      </c>
      <c r="U167" s="5">
        <f t="shared" si="560"/>
        <v>0.23333767460033211</v>
      </c>
      <c r="V167" s="5">
        <f t="shared" si="560"/>
        <v>0.41518421107130282</v>
      </c>
      <c r="W167" s="5">
        <f t="shared" si="560"/>
        <v>0.22196096181711836</v>
      </c>
      <c r="X167" s="5">
        <f t="shared" si="560"/>
        <v>0.34660315654770368</v>
      </c>
      <c r="Y167" s="5">
        <f t="shared" si="560"/>
        <v>0.2659882815817034</v>
      </c>
      <c r="Z167" s="5">
        <f t="shared" ref="Z167:AX167" si="561">Z166/Z133</f>
        <v>0.22630566793946177</v>
      </c>
      <c r="AA167" s="5">
        <f t="shared" si="561"/>
        <v>0.12611811061152509</v>
      </c>
      <c r="AB167" s="5">
        <f t="shared" si="561"/>
        <v>0.25444812476192158</v>
      </c>
      <c r="AC167" s="5">
        <f t="shared" si="561"/>
        <v>0.23588896480376464</v>
      </c>
      <c r="AD167" s="5">
        <f t="shared" si="561"/>
        <v>0.26282340944279686</v>
      </c>
      <c r="AE167" s="5">
        <f t="shared" si="561"/>
        <v>0.26639988566528511</v>
      </c>
      <c r="AF167" s="5">
        <f t="shared" si="561"/>
        <v>0.25648679058021218</v>
      </c>
      <c r="AG167" s="5">
        <f t="shared" si="561"/>
        <v>0.31298582589478197</v>
      </c>
      <c r="AH167" s="5">
        <f t="shared" si="561"/>
        <v>0.39564658910163369</v>
      </c>
      <c r="AI167" s="5">
        <f t="shared" si="561"/>
        <v>0.18243347709802998</v>
      </c>
      <c r="AJ167" s="5">
        <f t="shared" si="561"/>
        <v>0.21911833392862048</v>
      </c>
      <c r="AK167" s="5">
        <f t="shared" si="561"/>
        <v>0.2327382146439318</v>
      </c>
      <c r="AL167" s="5">
        <f t="shared" si="561"/>
        <v>0.3250032166006121</v>
      </c>
      <c r="AM167" s="5">
        <f t="shared" si="561"/>
        <v>0.12960265331339013</v>
      </c>
      <c r="AN167" s="5">
        <f t="shared" si="561"/>
        <v>0.17911507818065756</v>
      </c>
      <c r="AO167" s="5">
        <f t="shared" si="561"/>
        <v>0.21176383010400493</v>
      </c>
      <c r="AP167" s="5">
        <f t="shared" si="561"/>
        <v>0.24495953831039236</v>
      </c>
      <c r="AQ167" s="5">
        <f t="shared" si="561"/>
        <v>0.17733661757769509</v>
      </c>
      <c r="AR167" s="5">
        <f t="shared" si="561"/>
        <v>0.17268723382154358</v>
      </c>
      <c r="AS167" s="5">
        <f t="shared" si="561"/>
        <v>0.21022819025377937</v>
      </c>
      <c r="AT167" s="5">
        <f t="shared" si="561"/>
        <v>0.22918503553097938</v>
      </c>
      <c r="AU167" s="5">
        <f t="shared" si="561"/>
        <v>0.18900429431250093</v>
      </c>
      <c r="AV167" s="5">
        <f t="shared" si="561"/>
        <v>0.23946138955348434</v>
      </c>
      <c r="AW167" s="5">
        <f t="shared" si="561"/>
        <v>0.23614256962069829</v>
      </c>
      <c r="AX167" s="5">
        <f t="shared" si="561"/>
        <v>0.22774864467002076</v>
      </c>
      <c r="AY167" s="5">
        <f>AY166/AY133</f>
        <v>0.23858588624324695</v>
      </c>
      <c r="AZ167" s="5">
        <f>AZ166/AZ133</f>
        <v>0.21375085232130092</v>
      </c>
      <c r="BA167" s="5">
        <f>BA166/BA133</f>
        <v>0.12783457174495674</v>
      </c>
      <c r="BB167" s="5"/>
      <c r="BC167" s="5"/>
      <c r="BD167" s="5"/>
      <c r="BE167" s="5"/>
      <c r="BF167" s="5"/>
      <c r="BG167" s="5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10"/>
      <c r="BX167" s="10"/>
      <c r="BY167" s="10"/>
      <c r="CA167" s="10"/>
      <c r="CB167" s="10"/>
      <c r="CC167" s="10"/>
      <c r="CD167" s="10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</row>
    <row r="168" spans="2:113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5">
        <f t="shared" ref="O168:Y168" si="562">O164/O120</f>
        <v>0.12720627737627005</v>
      </c>
      <c r="P168" s="5">
        <f t="shared" si="562"/>
        <v>0.22513143940671457</v>
      </c>
      <c r="Q168" s="5">
        <f t="shared" si="562"/>
        <v>0.14792116964409466</v>
      </c>
      <c r="R168" s="5">
        <f t="shared" si="562"/>
        <v>0.22704917760590834</v>
      </c>
      <c r="S168" s="5">
        <f t="shared" si="562"/>
        <v>0.13441498169108423</v>
      </c>
      <c r="T168" s="5">
        <f t="shared" si="562"/>
        <v>0.18641370828457487</v>
      </c>
      <c r="U168" s="5">
        <f t="shared" si="562"/>
        <v>0.14045518184482142</v>
      </c>
      <c r="V168" s="5">
        <f t="shared" si="562"/>
        <v>0.31713652595049246</v>
      </c>
      <c r="W168" s="5">
        <f t="shared" si="562"/>
        <v>0.10299473005105354</v>
      </c>
      <c r="X168" s="5">
        <f t="shared" si="562"/>
        <v>0.21761126119721313</v>
      </c>
      <c r="Y168" s="5">
        <f t="shared" si="562"/>
        <v>0.14755017124741712</v>
      </c>
      <c r="Z168" s="5"/>
      <c r="AA168" s="5"/>
      <c r="AB168" s="5"/>
      <c r="AC168" s="5"/>
      <c r="AD168" s="5"/>
      <c r="AE168" s="5"/>
      <c r="AF168" s="5"/>
      <c r="AG168" s="5" t="s">
        <v>38</v>
      </c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10"/>
      <c r="BX168" s="10"/>
      <c r="BY168" s="10"/>
      <c r="CA168" s="10"/>
      <c r="CB168" s="10"/>
      <c r="CC168" s="10"/>
      <c r="CD168" s="10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</row>
    <row r="169" spans="2:113">
      <c r="B169" s="3" t="s">
        <v>1730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7">
        <v>48393</v>
      </c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89"/>
      <c r="BO169" s="89"/>
      <c r="BP169" s="89"/>
      <c r="BQ169" s="89"/>
      <c r="BR169" s="89"/>
      <c r="BS169" s="89"/>
      <c r="BT169" s="89"/>
      <c r="BU169" s="89"/>
      <c r="BV169" s="89"/>
      <c r="BW169" s="10"/>
      <c r="BX169" s="10"/>
      <c r="BY169" s="10"/>
      <c r="CA169" s="10"/>
      <c r="CB169" s="10"/>
      <c r="CC169" s="10"/>
      <c r="CD169" s="10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</row>
    <row r="170" spans="2:113">
      <c r="B170" s="3" t="s">
        <v>1731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7">
        <f>AM164-AM169</f>
        <v>11394</v>
      </c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89"/>
      <c r="BO170" s="89"/>
      <c r="BP170" s="89"/>
      <c r="BQ170" s="89"/>
      <c r="BR170" s="89"/>
      <c r="BS170" s="89"/>
      <c r="BT170" s="89"/>
      <c r="BU170" s="89"/>
      <c r="BV170" s="89"/>
      <c r="BW170" s="10"/>
      <c r="BX170" s="10"/>
      <c r="BY170" s="10"/>
      <c r="CA170" s="10"/>
      <c r="CB170" s="10"/>
      <c r="CC170" s="10"/>
      <c r="CD170" s="10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</row>
    <row r="171" spans="2:113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10"/>
      <c r="BX171" s="10"/>
      <c r="BY171" s="10"/>
      <c r="CA171" s="10"/>
      <c r="CB171" s="10"/>
      <c r="CC171" s="10"/>
      <c r="CD171" s="10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</row>
    <row r="172" spans="2:113">
      <c r="B172" s="3" t="s">
        <v>177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>
        <f t="shared" ref="O172:Y172" si="563">O145-O166</f>
        <v>49878</v>
      </c>
      <c r="P172" s="3">
        <f t="shared" si="563"/>
        <v>27993</v>
      </c>
      <c r="Q172" s="3">
        <f t="shared" si="563"/>
        <v>56585</v>
      </c>
      <c r="R172" s="3">
        <f t="shared" si="563"/>
        <v>20926</v>
      </c>
      <c r="S172" s="3">
        <f t="shared" si="563"/>
        <v>69740</v>
      </c>
      <c r="T172" s="3">
        <f t="shared" si="563"/>
        <v>49808</v>
      </c>
      <c r="U172" s="3">
        <f t="shared" si="563"/>
        <v>61098</v>
      </c>
      <c r="V172" s="3">
        <f t="shared" si="563"/>
        <v>-23873</v>
      </c>
      <c r="W172" s="3">
        <f t="shared" si="563"/>
        <v>65041</v>
      </c>
      <c r="X172" s="3">
        <f t="shared" si="563"/>
        <v>19464</v>
      </c>
      <c r="Y172" s="3">
        <f t="shared" si="563"/>
        <v>49988</v>
      </c>
      <c r="Z172" s="7">
        <f t="shared" ref="Z172:AU172" si="564">Z150-Z166</f>
        <v>27207</v>
      </c>
      <c r="AA172" s="7">
        <f t="shared" si="564"/>
        <v>71059</v>
      </c>
      <c r="AB172" s="7">
        <f t="shared" si="564"/>
        <v>17843</v>
      </c>
      <c r="AC172" s="7">
        <f t="shared" si="564"/>
        <v>20835.0159090909</v>
      </c>
      <c r="AD172" s="7">
        <f t="shared" si="564"/>
        <v>-13924.536363636376</v>
      </c>
      <c r="AE172" s="7">
        <f t="shared" si="564"/>
        <v>119</v>
      </c>
      <c r="AF172" s="7">
        <f t="shared" si="564"/>
        <v>-1946</v>
      </c>
      <c r="AG172" s="7">
        <f t="shared" si="564"/>
        <v>-34387</v>
      </c>
      <c r="AH172" s="7">
        <f t="shared" si="564"/>
        <v>-111556</v>
      </c>
      <c r="AI172" s="7">
        <f t="shared" si="564"/>
        <v>22414</v>
      </c>
      <c r="AJ172" s="7">
        <f t="shared" si="564"/>
        <v>1172</v>
      </c>
      <c r="AK172" s="7">
        <f t="shared" si="564"/>
        <v>-17257</v>
      </c>
      <c r="AL172" s="7">
        <f t="shared" si="564"/>
        <v>-74806</v>
      </c>
      <c r="AM172" s="7">
        <f t="shared" si="564"/>
        <v>49246</v>
      </c>
      <c r="AN172" s="7">
        <f t="shared" si="564"/>
        <v>16351</v>
      </c>
      <c r="AO172" s="7">
        <f t="shared" si="564"/>
        <v>9134</v>
      </c>
      <c r="AP172" s="7">
        <f t="shared" si="564"/>
        <v>-18949</v>
      </c>
      <c r="AQ172" s="7">
        <f t="shared" si="564"/>
        <v>28381</v>
      </c>
      <c r="AR172" s="7">
        <f t="shared" si="564"/>
        <v>15497</v>
      </c>
      <c r="AS172" s="7">
        <f t="shared" si="564"/>
        <v>10513</v>
      </c>
      <c r="AT172" s="7">
        <f t="shared" si="564"/>
        <v>-1299</v>
      </c>
      <c r="AU172" s="7">
        <f t="shared" si="564"/>
        <v>9248</v>
      </c>
      <c r="AV172" s="7">
        <f t="shared" ref="AV172:BA172" si="565">AV150-AV166</f>
        <v>-17975</v>
      </c>
      <c r="AW172" s="7">
        <f t="shared" si="565"/>
        <v>-7053</v>
      </c>
      <c r="AX172" s="7">
        <f t="shared" si="565"/>
        <v>10680</v>
      </c>
      <c r="AY172" s="7">
        <f t="shared" si="565"/>
        <v>4814</v>
      </c>
      <c r="AZ172" s="7">
        <f t="shared" si="565"/>
        <v>13148</v>
      </c>
      <c r="BA172" s="7">
        <f t="shared" si="565"/>
        <v>67273</v>
      </c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10"/>
      <c r="BX172" s="10"/>
      <c r="BY172" s="10"/>
      <c r="CA172" s="10"/>
      <c r="CB172" s="10"/>
      <c r="CC172" s="10"/>
      <c r="CD172" s="10"/>
      <c r="CH172" s="8">
        <f t="shared" ref="CH172:DI172" si="566">W172/S172-1</f>
        <v>-6.7378835675365623E-2</v>
      </c>
      <c r="CI172" s="8">
        <f t="shared" si="566"/>
        <v>-0.60921940250562157</v>
      </c>
      <c r="CJ172" s="8">
        <f t="shared" si="566"/>
        <v>-0.181839012733641</v>
      </c>
      <c r="CK172" s="8">
        <f t="shared" si="566"/>
        <v>-2.1396556779625517</v>
      </c>
      <c r="CL172" s="8">
        <f t="shared" si="566"/>
        <v>9.2526252671391918E-2</v>
      </c>
      <c r="CM172" s="8">
        <f t="shared" si="566"/>
        <v>-8.3281956432388005E-2</v>
      </c>
      <c r="CN172" s="8">
        <f t="shared" si="566"/>
        <v>-0.5831996497341182</v>
      </c>
      <c r="CO172" s="8">
        <f t="shared" si="566"/>
        <v>-1.5117997707809159</v>
      </c>
      <c r="CP172" s="8">
        <f t="shared" si="566"/>
        <v>-0.99832533528476342</v>
      </c>
      <c r="CQ172" s="8">
        <f t="shared" si="566"/>
        <v>-1.1090623774029031</v>
      </c>
      <c r="CR172" s="8">
        <f t="shared" si="566"/>
        <v>-2.650442704245596</v>
      </c>
      <c r="CS172" s="8">
        <f t="shared" si="566"/>
        <v>7.0114696164194061</v>
      </c>
      <c r="CT172" s="8">
        <f t="shared" si="566"/>
        <v>187.35294117647058</v>
      </c>
      <c r="CU172" s="8">
        <f t="shared" si="566"/>
        <v>-1.6022610483042139</v>
      </c>
      <c r="CV172" s="8">
        <f t="shared" si="566"/>
        <v>-0.4981533719138046</v>
      </c>
      <c r="CW172" s="8">
        <f t="shared" si="566"/>
        <v>-0.32943095844239667</v>
      </c>
      <c r="CX172" s="8">
        <f t="shared" si="566"/>
        <v>1.1971089497635408</v>
      </c>
      <c r="CY172" s="8">
        <f t="shared" si="566"/>
        <v>12.951365187713311</v>
      </c>
      <c r="CZ172" s="8">
        <f t="shared" si="566"/>
        <v>-1.5292924610303067</v>
      </c>
      <c r="DA172" s="8">
        <f t="shared" si="566"/>
        <v>-0.74669144186295222</v>
      </c>
      <c r="DB172" s="8">
        <f t="shared" si="566"/>
        <v>-0.42368923364334155</v>
      </c>
      <c r="DC172" s="8">
        <f t="shared" si="566"/>
        <v>-5.2229221454345276E-2</v>
      </c>
      <c r="DD172" s="8">
        <f t="shared" si="566"/>
        <v>0.15097438143201236</v>
      </c>
      <c r="DE172" s="8">
        <f t="shared" si="566"/>
        <v>-0.93144756979260124</v>
      </c>
      <c r="DF172" s="8">
        <f t="shared" si="566"/>
        <v>-0.67414819773792334</v>
      </c>
      <c r="DG172" s="8">
        <f t="shared" si="566"/>
        <v>-2.159901916499968</v>
      </c>
      <c r="DH172" s="8">
        <f t="shared" si="566"/>
        <v>-1.6708836678398173</v>
      </c>
      <c r="DI172" s="8">
        <f t="shared" si="566"/>
        <v>-9.2217090069284069</v>
      </c>
    </row>
    <row r="173" spans="2:113">
      <c r="B173" s="3" t="s">
        <v>5</v>
      </c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5">
        <f t="shared" ref="O173:Y173" si="567">O172/O120</f>
        <v>0.1955915627169024</v>
      </c>
      <c r="P173" s="5">
        <f t="shared" si="567"/>
        <v>0.10490045080999652</v>
      </c>
      <c r="Q173" s="5">
        <f t="shared" si="567"/>
        <v>0.2119661513449933</v>
      </c>
      <c r="R173" s="5">
        <f t="shared" si="567"/>
        <v>6.949088940767037E-2</v>
      </c>
      <c r="S173" s="5">
        <f t="shared" si="567"/>
        <v>0.23711490927141735</v>
      </c>
      <c r="T173" s="5">
        <f t="shared" si="567"/>
        <v>0.16511468323294337</v>
      </c>
      <c r="U173" s="5">
        <f t="shared" si="567"/>
        <v>0.19893204831830169</v>
      </c>
      <c r="V173" s="5">
        <f t="shared" si="567"/>
        <v>-7.0628296879668886E-2</v>
      </c>
      <c r="W173" s="5">
        <f t="shared" si="567"/>
        <v>0.19116717759404639</v>
      </c>
      <c r="X173" s="5">
        <f t="shared" si="567"/>
        <v>5.5350490544575574E-2</v>
      </c>
      <c r="Y173" s="5">
        <f t="shared" si="567"/>
        <v>0.14149282459169521</v>
      </c>
      <c r="Z173" s="5">
        <f t="shared" ref="Z173:AL173" si="568">Z172/Z133</f>
        <v>6.8753680028909553E-2</v>
      </c>
      <c r="AA173" s="5">
        <f t="shared" si="568"/>
        <v>0.18816298861897121</v>
      </c>
      <c r="AB173" s="5">
        <f t="shared" si="568"/>
        <v>4.5012272863727068E-2</v>
      </c>
      <c r="AC173" s="5">
        <f t="shared" si="568"/>
        <v>5.1055453774672251E-2</v>
      </c>
      <c r="AD173" s="5">
        <f t="shared" si="568"/>
        <v>-3.0153068707189069E-2</v>
      </c>
      <c r="AE173" s="5">
        <f t="shared" si="568"/>
        <v>2.8345481396789101E-4</v>
      </c>
      <c r="AF173" s="5">
        <f t="shared" si="568"/>
        <v>-4.7806455099764656E-3</v>
      </c>
      <c r="AG173" s="5">
        <f t="shared" si="568"/>
        <v>-8.4721876609153909E-2</v>
      </c>
      <c r="AH173" s="5">
        <f t="shared" si="568"/>
        <v>-0.25865418948559449</v>
      </c>
      <c r="AI173" s="5">
        <f t="shared" si="568"/>
        <v>5.1722984121270021E-2</v>
      </c>
      <c r="AJ173" s="5">
        <f t="shared" si="568"/>
        <v>2.6833713401287654E-3</v>
      </c>
      <c r="AK173" s="5">
        <f t="shared" si="568"/>
        <v>-3.8464281734091166E-2</v>
      </c>
      <c r="AL173" s="5">
        <f t="shared" si="568"/>
        <v>-0.15778427894360508</v>
      </c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</row>
    <row r="174" spans="2:113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  <c r="AK174" s="142"/>
      <c r="AL174" s="142"/>
      <c r="AM174" s="142"/>
      <c r="AN174" s="142"/>
      <c r="AO174" s="142"/>
      <c r="AP174" s="142"/>
      <c r="AQ174" s="142"/>
      <c r="AR174" s="142"/>
      <c r="AS174" s="142"/>
      <c r="AT174" s="142"/>
      <c r="AU174" s="142"/>
      <c r="AV174" s="142"/>
      <c r="AW174" s="142"/>
      <c r="AX174" s="142"/>
      <c r="AY174" s="142"/>
      <c r="AZ174" s="142"/>
      <c r="BA174" s="142"/>
      <c r="BB174" s="142"/>
      <c r="BC174" s="142"/>
      <c r="BD174" s="142"/>
      <c r="BE174" s="142"/>
      <c r="BF174" s="142"/>
      <c r="BG174" s="142"/>
      <c r="BH174" s="142"/>
      <c r="BI174" s="142"/>
      <c r="BJ174" s="142"/>
      <c r="BK174" s="142"/>
      <c r="BL174" s="142"/>
      <c r="BM174" s="142"/>
      <c r="BN174" s="142"/>
      <c r="BO174" s="142"/>
      <c r="BP174" s="142"/>
      <c r="BQ174" s="142"/>
      <c r="BR174" s="142"/>
      <c r="BS174" s="142"/>
      <c r="BT174" s="142"/>
      <c r="BU174" s="142"/>
      <c r="BV174" s="142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</row>
    <row r="175" spans="2:113">
      <c r="B175" s="142" t="s">
        <v>1257</v>
      </c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7">
        <f>AE166/Interims!AE288</f>
        <v>202.60869565217391</v>
      </c>
      <c r="AF175" s="7">
        <f>AF166/Interims!AF288</f>
        <v>188.11711711711712</v>
      </c>
      <c r="AG175" s="7">
        <f>AG166/Interims!AG288</f>
        <v>219.78373702422147</v>
      </c>
      <c r="AH175" s="7">
        <f>AH166/Interims!AH288</f>
        <v>285.35117056856188</v>
      </c>
      <c r="AI175" s="7">
        <f>AI166/Interims!AI288</f>
        <v>126.59057360027622</v>
      </c>
      <c r="AJ175" s="7">
        <f>AJ166/Interims!AJ288</f>
        <v>154.85922330097088</v>
      </c>
      <c r="AK175" s="7">
        <f>AK166/Interims!AK288</f>
        <v>154.32603390852253</v>
      </c>
      <c r="AL175" s="7">
        <f>AL166/Interims!AL288</f>
        <v>220.75128646280356</v>
      </c>
      <c r="AM175" s="7">
        <f>AM166/Interims!AM288</f>
        <v>85.295535266299751</v>
      </c>
      <c r="AN175" s="7">
        <f>AN166/Interims!AN288</f>
        <v>121.43870014771049</v>
      </c>
      <c r="AO175" s="7">
        <f>AO166/Interims!AO288</f>
        <v>150.40030211480362</v>
      </c>
      <c r="AP175" s="7">
        <f>AP166/Interims!AP288</f>
        <v>178.84661654135337</v>
      </c>
      <c r="AQ175" s="7">
        <f>AQ166/Interims!AQ288</f>
        <v>128.95426829268294</v>
      </c>
      <c r="AR175" s="7">
        <f>AR166/Interims!AR288</f>
        <v>125.18524096385542</v>
      </c>
      <c r="AS175" s="7">
        <f>AS166/Interims!AS288</f>
        <v>158.16822429906543</v>
      </c>
      <c r="AT175" s="7">
        <f>AT166/Interims!AT288</f>
        <v>186.01895734597156</v>
      </c>
      <c r="AU175" s="7">
        <f>AU166/Interims!AU288</f>
        <v>149.61624511667728</v>
      </c>
      <c r="AV175" s="7">
        <f>AV166/Interims!AV288</f>
        <v>180.40124208821831</v>
      </c>
      <c r="AW175" s="7">
        <f>AW166/Interims!AW288</f>
        <v>172.18853695324285</v>
      </c>
      <c r="AX175" s="7">
        <f>AX166/Interims!AX288</f>
        <v>169.70484581497797</v>
      </c>
      <c r="AY175" s="7">
        <f>AY166/Interims!AY288</f>
        <v>169.57634730538922</v>
      </c>
      <c r="AZ175" s="7">
        <f>AZ166/Interims!AZ288</f>
        <v>151.92240117130308</v>
      </c>
      <c r="BA175" s="7">
        <f>BA166/Interims!BA288</f>
        <v>93.300146412884331</v>
      </c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</row>
    <row r="176" spans="2:113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2"/>
      <c r="AT176" s="142"/>
      <c r="AU176" s="142"/>
      <c r="AV176" s="142"/>
      <c r="AW176" s="142"/>
      <c r="AX176" s="142"/>
      <c r="AY176" s="142"/>
      <c r="AZ176" s="142"/>
      <c r="BA176" s="142"/>
      <c r="BB176" s="142"/>
      <c r="BC176" s="142"/>
      <c r="BD176" s="142"/>
      <c r="BE176" s="142"/>
      <c r="BF176" s="142"/>
      <c r="BG176" s="142"/>
      <c r="BH176" s="142"/>
      <c r="BI176" s="142"/>
      <c r="BJ176" s="142"/>
      <c r="BK176" s="142"/>
      <c r="BL176" s="142"/>
      <c r="BM176" s="142"/>
      <c r="BN176" s="142"/>
      <c r="BO176" s="142"/>
      <c r="BP176" s="142"/>
      <c r="BQ176" s="142"/>
      <c r="BR176" s="142"/>
      <c r="BS176" s="142"/>
      <c r="BT176" s="142"/>
      <c r="BU176" s="142"/>
      <c r="BV176" s="142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</row>
    <row r="177" spans="2:113">
      <c r="B177" s="3" t="s">
        <v>672</v>
      </c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3"/>
      <c r="O177" s="3"/>
      <c r="P177" s="3"/>
      <c r="Q177" s="3"/>
      <c r="R177" s="3"/>
      <c r="S177" s="3"/>
      <c r="T177" s="3">
        <v>30801</v>
      </c>
      <c r="U177" s="3"/>
      <c r="V177" s="3">
        <v>32638</v>
      </c>
      <c r="W177" s="3">
        <v>32006</v>
      </c>
      <c r="X177" s="3">
        <v>34742</v>
      </c>
      <c r="Y177" s="3">
        <v>45002</v>
      </c>
      <c r="Z177" s="3">
        <v>40003</v>
      </c>
      <c r="AA177" s="3">
        <v>37070</v>
      </c>
      <c r="AB177" s="3">
        <v>39888</v>
      </c>
      <c r="AC177" s="3">
        <v>45002</v>
      </c>
      <c r="AD177" s="3">
        <v>50359</v>
      </c>
      <c r="AE177" s="3">
        <v>52322</v>
      </c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CH177" s="8"/>
      <c r="CI177" s="8">
        <f t="shared" ref="CI177:CS177" si="569">X177/T177-1</f>
        <v>0.12795039122106422</v>
      </c>
      <c r="CJ177" s="8" t="e">
        <f t="shared" si="569"/>
        <v>#DIV/0!</v>
      </c>
      <c r="CK177" s="8">
        <f t="shared" si="569"/>
        <v>0.22565720938783018</v>
      </c>
      <c r="CL177" s="8">
        <f t="shared" si="569"/>
        <v>0.15822033368743371</v>
      </c>
      <c r="CM177" s="8">
        <f t="shared" si="569"/>
        <v>0.14812043060272861</v>
      </c>
      <c r="CN177" s="8">
        <f t="shared" si="569"/>
        <v>0</v>
      </c>
      <c r="CO177" s="8">
        <f t="shared" si="569"/>
        <v>0.25888058395620339</v>
      </c>
      <c r="CP177" s="8">
        <f t="shared" si="569"/>
        <v>0.4114378203398974</v>
      </c>
      <c r="CQ177" s="8">
        <f t="shared" si="569"/>
        <v>-1</v>
      </c>
      <c r="CR177" s="8">
        <f t="shared" si="569"/>
        <v>-1</v>
      </c>
      <c r="CS177" s="8">
        <f t="shared" si="569"/>
        <v>-1</v>
      </c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</row>
    <row r="178" spans="2:113">
      <c r="B178" s="3" t="s">
        <v>673</v>
      </c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3"/>
      <c r="O178" s="3"/>
      <c r="P178" s="3"/>
      <c r="Q178" s="3"/>
      <c r="R178" s="3"/>
      <c r="S178" s="3"/>
      <c r="T178" s="3"/>
      <c r="U178" s="3"/>
      <c r="V178" s="3">
        <v>47701</v>
      </c>
      <c r="W178" s="3">
        <v>51230</v>
      </c>
      <c r="X178" s="3">
        <v>52229</v>
      </c>
      <c r="Y178" s="3">
        <v>51445</v>
      </c>
      <c r="Z178" s="3">
        <v>55250</v>
      </c>
      <c r="AA178" s="3">
        <v>51842</v>
      </c>
      <c r="AB178" s="3">
        <v>52024</v>
      </c>
      <c r="AC178" s="3">
        <v>55240</v>
      </c>
      <c r="AD178" s="3">
        <v>61004</v>
      </c>
      <c r="AE178" s="3">
        <v>37072</v>
      </c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</row>
    <row r="179" spans="2:113">
      <c r="B179" s="3" t="s">
        <v>674</v>
      </c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3"/>
      <c r="O179" s="3"/>
      <c r="P179" s="3"/>
      <c r="Q179" s="3"/>
      <c r="R179" s="3"/>
      <c r="S179" s="3"/>
      <c r="T179" s="3"/>
      <c r="U179" s="3"/>
      <c r="V179" s="3">
        <v>9189</v>
      </c>
      <c r="W179" s="3">
        <v>10290</v>
      </c>
      <c r="X179" s="3">
        <v>10946</v>
      </c>
      <c r="Y179" s="3">
        <v>11782</v>
      </c>
      <c r="Z179" s="3">
        <v>13275</v>
      </c>
      <c r="AA179" s="3">
        <v>11708</v>
      </c>
      <c r="AB179" s="3">
        <v>11781</v>
      </c>
      <c r="AC179" s="3">
        <v>11782</v>
      </c>
      <c r="AD179" s="3">
        <v>12895</v>
      </c>
      <c r="AE179" s="3">
        <v>13548</v>
      </c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</row>
    <row r="180" spans="2:113">
      <c r="B180" s="3" t="s">
        <v>727</v>
      </c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3"/>
      <c r="O180" s="3"/>
      <c r="P180" s="3"/>
      <c r="Q180" s="3"/>
      <c r="R180" s="3"/>
      <c r="S180" s="3"/>
      <c r="T180" s="3"/>
      <c r="U180" s="3"/>
      <c r="V180" s="3">
        <v>7893</v>
      </c>
      <c r="W180" s="3">
        <v>7392</v>
      </c>
      <c r="X180" s="3">
        <v>7764</v>
      </c>
      <c r="Y180" s="3">
        <v>10370</v>
      </c>
      <c r="Z180" s="3">
        <v>8627</v>
      </c>
      <c r="AA180" s="3">
        <v>9681</v>
      </c>
      <c r="AB180" s="3">
        <v>8335</v>
      </c>
      <c r="AC180" s="3">
        <v>10370</v>
      </c>
      <c r="AD180" s="3">
        <v>11936</v>
      </c>
      <c r="AE180" s="3">
        <v>13436</v>
      </c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</row>
    <row r="181" spans="2:113">
      <c r="B181" s="3" t="s">
        <v>726</v>
      </c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3"/>
      <c r="O181" s="3"/>
      <c r="P181" s="3"/>
      <c r="Q181" s="3"/>
      <c r="R181" s="3"/>
      <c r="S181" s="3"/>
      <c r="T181" s="3">
        <v>40127</v>
      </c>
      <c r="U181" s="3"/>
      <c r="V181" s="3">
        <v>66227</v>
      </c>
      <c r="W181" s="3">
        <v>48127</v>
      </c>
      <c r="X181" s="3">
        <v>53081</v>
      </c>
      <c r="Y181" s="3">
        <v>98755</v>
      </c>
      <c r="Z181" s="3">
        <v>104188</v>
      </c>
      <c r="AA181" s="3">
        <v>83953</v>
      </c>
      <c r="AB181" s="3">
        <v>102069</v>
      </c>
      <c r="AC181" s="3">
        <v>98755</v>
      </c>
      <c r="AD181" s="3">
        <v>127547</v>
      </c>
      <c r="AE181" s="3">
        <v>101765</v>
      </c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CH181" s="8"/>
      <c r="CI181" s="8">
        <f t="shared" ref="CI181:CS181" si="570">X181/T181-1</f>
        <v>0.32282503052807332</v>
      </c>
      <c r="CJ181" s="8" t="e">
        <f t="shared" si="570"/>
        <v>#DIV/0!</v>
      </c>
      <c r="CK181" s="8">
        <f t="shared" si="570"/>
        <v>0.5731952224923369</v>
      </c>
      <c r="CL181" s="8">
        <f t="shared" si="570"/>
        <v>0.74440542730691717</v>
      </c>
      <c r="CM181" s="8">
        <f t="shared" si="570"/>
        <v>0.92289143007855912</v>
      </c>
      <c r="CN181" s="8">
        <f t="shared" si="570"/>
        <v>0</v>
      </c>
      <c r="CO181" s="8">
        <f t="shared" si="570"/>
        <v>0.22420048374092993</v>
      </c>
      <c r="CP181" s="8">
        <f t="shared" si="570"/>
        <v>0.2121663311614832</v>
      </c>
      <c r="CQ181" s="8">
        <f t="shared" si="570"/>
        <v>-1</v>
      </c>
      <c r="CR181" s="8">
        <f t="shared" si="570"/>
        <v>-1</v>
      </c>
      <c r="CS181" s="8">
        <f t="shared" si="570"/>
        <v>-1</v>
      </c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</row>
    <row r="182" spans="2:113">
      <c r="B182" s="2" t="s">
        <v>20</v>
      </c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2"/>
      <c r="O182" s="2"/>
      <c r="P182" s="2"/>
      <c r="Q182" s="2"/>
      <c r="R182" s="2"/>
      <c r="S182" s="2"/>
      <c r="T182" s="2"/>
      <c r="U182" s="2"/>
      <c r="V182" s="2">
        <v>57898</v>
      </c>
      <c r="W182" s="2">
        <v>50717</v>
      </c>
      <c r="X182" s="2">
        <v>54441</v>
      </c>
      <c r="Y182" s="2"/>
      <c r="Z182" s="273">
        <f>60785-3200</f>
        <v>57585</v>
      </c>
      <c r="AA182" s="2">
        <v>59326</v>
      </c>
      <c r="AB182" s="2">
        <v>65399</v>
      </c>
      <c r="AC182" s="2">
        <v>65399</v>
      </c>
      <c r="AD182" s="2">
        <v>90608</v>
      </c>
      <c r="AE182" s="2">
        <f>312861-SUM(AE177:AE181)</f>
        <v>94718</v>
      </c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</row>
    <row r="183" spans="2:113">
      <c r="B183" s="2" t="s">
        <v>670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>
        <f t="shared" ref="N183:Y183" si="571">N128-N145</f>
        <v>155135</v>
      </c>
      <c r="O183" s="2">
        <f t="shared" si="571"/>
        <v>152167</v>
      </c>
      <c r="P183" s="2">
        <f t="shared" si="571"/>
        <v>156409</v>
      </c>
      <c r="Q183" s="2">
        <f t="shared" si="571"/>
        <v>149732</v>
      </c>
      <c r="R183" s="2">
        <f t="shared" si="571"/>
        <v>185519</v>
      </c>
      <c r="S183" s="2">
        <f t="shared" si="571"/>
        <v>161280</v>
      </c>
      <c r="T183" s="2">
        <f t="shared" si="571"/>
        <v>168523</v>
      </c>
      <c r="U183" s="2">
        <f t="shared" si="571"/>
        <v>174367</v>
      </c>
      <c r="V183" s="2">
        <f t="shared" si="571"/>
        <v>221546</v>
      </c>
      <c r="W183" s="2">
        <f t="shared" si="571"/>
        <v>199672</v>
      </c>
      <c r="X183" s="2">
        <f t="shared" si="571"/>
        <v>210303</v>
      </c>
      <c r="Y183" s="2">
        <f t="shared" si="571"/>
        <v>209331</v>
      </c>
      <c r="Z183" s="9">
        <f t="shared" ref="Z183:AE183" si="572">Z133-Z150</f>
        <v>278957</v>
      </c>
      <c r="AA183" s="9">
        <f t="shared" si="572"/>
        <v>258959</v>
      </c>
      <c r="AB183" s="9">
        <f t="shared" si="572"/>
        <v>277696</v>
      </c>
      <c r="AC183" s="9">
        <f t="shared" si="572"/>
        <v>290988</v>
      </c>
      <c r="AD183" s="9">
        <f t="shared" si="572"/>
        <v>354349</v>
      </c>
      <c r="AE183" s="9">
        <f t="shared" si="572"/>
        <v>307861</v>
      </c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CD183" s="8">
        <f t="shared" ref="CD183:CS184" si="573">S183/O183-1</f>
        <v>5.988814920449248E-2</v>
      </c>
      <c r="CE183" s="8">
        <f t="shared" si="573"/>
        <v>7.7450786080084821E-2</v>
      </c>
      <c r="CF183" s="8">
        <f t="shared" si="573"/>
        <v>0.16452728875591061</v>
      </c>
      <c r="CG183" s="8">
        <f t="shared" si="573"/>
        <v>0.19419574275411144</v>
      </c>
      <c r="CH183" s="8">
        <f t="shared" si="573"/>
        <v>0.23804563492063502</v>
      </c>
      <c r="CI183" s="8">
        <f t="shared" si="573"/>
        <v>0.24791868172296949</v>
      </c>
      <c r="CJ183" s="8">
        <f t="shared" si="573"/>
        <v>0.20051959373046513</v>
      </c>
      <c r="CK183" s="8">
        <f t="shared" si="573"/>
        <v>0.25913805710777904</v>
      </c>
      <c r="CL183" s="8">
        <f t="shared" si="573"/>
        <v>0.29692195200128202</v>
      </c>
      <c r="CM183" s="8">
        <f t="shared" si="573"/>
        <v>0.32045667441738823</v>
      </c>
      <c r="CN183" s="8">
        <f t="shared" si="573"/>
        <v>0.39008555827851588</v>
      </c>
      <c r="CO183" s="8">
        <f t="shared" si="573"/>
        <v>0.2702638757944773</v>
      </c>
      <c r="CP183" s="8">
        <f t="shared" si="573"/>
        <v>0.18884070451306956</v>
      </c>
      <c r="CQ183" s="8">
        <f t="shared" si="573"/>
        <v>-1</v>
      </c>
      <c r="CR183" s="8">
        <f t="shared" si="573"/>
        <v>-1</v>
      </c>
      <c r="CS183" s="8">
        <f t="shared" si="573"/>
        <v>-1</v>
      </c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</row>
    <row r="184" spans="2:113">
      <c r="B184" s="3" t="s">
        <v>800</v>
      </c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>
        <v>38400</v>
      </c>
      <c r="AA184" s="3">
        <v>37200</v>
      </c>
      <c r="AB184" s="3">
        <v>46300</v>
      </c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CD184" s="8" t="e">
        <f t="shared" si="573"/>
        <v>#DIV/0!</v>
      </c>
      <c r="CE184" s="8" t="e">
        <f t="shared" si="573"/>
        <v>#DIV/0!</v>
      </c>
      <c r="CF184" s="8" t="e">
        <f t="shared" si="573"/>
        <v>#DIV/0!</v>
      </c>
      <c r="CG184" s="8" t="e">
        <f t="shared" si="573"/>
        <v>#DIV/0!</v>
      </c>
      <c r="CH184" s="8" t="e">
        <f t="shared" si="573"/>
        <v>#DIV/0!</v>
      </c>
      <c r="CI184" s="8" t="e">
        <f t="shared" si="573"/>
        <v>#DIV/0!</v>
      </c>
      <c r="CJ184" s="8" t="e">
        <f t="shared" si="573"/>
        <v>#DIV/0!</v>
      </c>
      <c r="CK184" s="8" t="e">
        <f t="shared" si="573"/>
        <v>#DIV/0!</v>
      </c>
      <c r="CL184" s="8" t="e">
        <f t="shared" si="573"/>
        <v>#DIV/0!</v>
      </c>
      <c r="CM184" s="8" t="e">
        <f t="shared" si="573"/>
        <v>#DIV/0!</v>
      </c>
      <c r="CN184" s="8" t="e">
        <f t="shared" si="573"/>
        <v>#DIV/0!</v>
      </c>
      <c r="CO184" s="8">
        <f t="shared" si="573"/>
        <v>-1</v>
      </c>
      <c r="CP184" s="8">
        <f t="shared" si="573"/>
        <v>-1</v>
      </c>
      <c r="CQ184" s="8">
        <f t="shared" si="573"/>
        <v>-1</v>
      </c>
      <c r="CR184" s="8" t="e">
        <f t="shared" si="573"/>
        <v>#DIV/0!</v>
      </c>
      <c r="CS184" s="8" t="e">
        <f t="shared" si="573"/>
        <v>#DIV/0!</v>
      </c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</row>
    <row r="185" spans="2:113">
      <c r="B185" s="3" t="s">
        <v>801</v>
      </c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7">
        <f>Z183-Z184</f>
        <v>240557</v>
      </c>
      <c r="AA185" s="7">
        <f>AA183-AA184</f>
        <v>221759</v>
      </c>
      <c r="AB185" s="7">
        <f>AB183-AB184</f>
        <v>231396</v>
      </c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</row>
    <row r="186" spans="2:113">
      <c r="B186" s="95" t="s">
        <v>815</v>
      </c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8">
        <f>(Z149+Z184)/Z123</f>
        <v>0.41993321260653588</v>
      </c>
      <c r="AA186" s="8">
        <f>(AA149+AA184)/AA123</f>
        <v>0.44071003753964683</v>
      </c>
      <c r="AB186" s="8">
        <f>(AB149+AB184)/AB123</f>
        <v>0.40430229106000215</v>
      </c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</row>
    <row r="187" spans="2:113">
      <c r="B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</row>
    <row r="188" spans="2:113">
      <c r="B188" s="10" t="s">
        <v>682</v>
      </c>
      <c r="O188" s="10"/>
      <c r="P188" s="10"/>
      <c r="Q188" s="10"/>
      <c r="R188" s="10"/>
      <c r="S188" s="275">
        <f>67618-(S145+S189)</f>
        <v>-1125</v>
      </c>
      <c r="T188" s="275">
        <f>65976-(T145+T189)</f>
        <v>-1125</v>
      </c>
      <c r="U188" s="275">
        <f>62292-(U145+U189)</f>
        <v>-1492</v>
      </c>
      <c r="V188" s="275">
        <f>42342-(V145+V189)</f>
        <v>-3430</v>
      </c>
      <c r="W188" s="275">
        <f>67786-(W145+W189)</f>
        <v>-1200</v>
      </c>
      <c r="X188" s="275">
        <f>58816-(X145+X189)</f>
        <v>-4100</v>
      </c>
      <c r="Y188" s="275">
        <f>61344-(Y145+Y189)</f>
        <v>-1225</v>
      </c>
      <c r="Z188" s="275">
        <v>-3200</v>
      </c>
      <c r="AA188" s="275">
        <v>-932</v>
      </c>
      <c r="AB188" s="275">
        <v>-933</v>
      </c>
      <c r="AC188" s="275">
        <v>-1392</v>
      </c>
      <c r="AD188" s="275">
        <v>0</v>
      </c>
      <c r="AE188" s="275">
        <v>4000</v>
      </c>
      <c r="AF188" s="275">
        <v>-1863</v>
      </c>
      <c r="AG188" s="275">
        <v>0</v>
      </c>
      <c r="AH188" s="275"/>
      <c r="AI188" s="275">
        <v>-506</v>
      </c>
      <c r="AJ188" s="275">
        <v>-512</v>
      </c>
      <c r="AK188" s="275"/>
      <c r="AL188" s="275"/>
      <c r="AM188" s="275"/>
      <c r="AN188" s="275"/>
      <c r="AO188" s="275">
        <f>-2800-2145</f>
        <v>-4945</v>
      </c>
      <c r="AP188" s="275">
        <v>3599</v>
      </c>
      <c r="AQ188" s="275">
        <v>-3954</v>
      </c>
      <c r="AR188" s="275">
        <v>-180</v>
      </c>
      <c r="AS188" s="275">
        <v>0</v>
      </c>
      <c r="AT188" s="275">
        <v>-2895</v>
      </c>
      <c r="AU188" s="275">
        <v>0</v>
      </c>
      <c r="AV188" s="275">
        <v>-2241</v>
      </c>
      <c r="AW188" s="275">
        <v>-1094</v>
      </c>
      <c r="AX188" s="275">
        <v>-1108</v>
      </c>
      <c r="AY188" s="275"/>
      <c r="AZ188" s="275"/>
      <c r="BA188" s="275"/>
      <c r="BB188" s="275"/>
      <c r="BC188" s="275"/>
      <c r="BD188" s="275"/>
      <c r="BE188" s="275"/>
      <c r="BF188" s="275"/>
      <c r="BG188" s="275"/>
      <c r="BH188" s="275"/>
      <c r="BI188" s="275"/>
      <c r="BJ188" s="275"/>
      <c r="BK188" s="275"/>
      <c r="BL188" s="275"/>
      <c r="BM188" s="275"/>
      <c r="BN188" s="275"/>
      <c r="BO188" s="275"/>
      <c r="BP188" s="275"/>
      <c r="BQ188" s="275"/>
      <c r="BR188" s="275"/>
      <c r="BS188" s="275"/>
      <c r="BT188" s="275"/>
      <c r="BU188" s="275"/>
      <c r="BV188" s="275"/>
      <c r="CD188" s="8"/>
      <c r="CE188" s="8"/>
      <c r="CF188" s="8"/>
      <c r="CG188" s="8"/>
      <c r="CH188" s="8">
        <f t="shared" ref="CH188:CS194" si="574">W188/S188-1</f>
        <v>6.6666666666666652E-2</v>
      </c>
      <c r="CI188" s="8">
        <f t="shared" si="574"/>
        <v>2.6444444444444444</v>
      </c>
      <c r="CJ188" s="8">
        <f t="shared" si="574"/>
        <v>-0.17895442359249325</v>
      </c>
      <c r="CK188" s="8">
        <f t="shared" si="574"/>
        <v>-6.7055393586005874E-2</v>
      </c>
      <c r="CL188" s="8">
        <f t="shared" si="574"/>
        <v>-0.22333333333333338</v>
      </c>
      <c r="CM188" s="8">
        <f t="shared" si="574"/>
        <v>-0.77243902439024392</v>
      </c>
      <c r="CN188" s="8">
        <f t="shared" si="574"/>
        <v>0.13632653061224498</v>
      </c>
      <c r="CO188" s="8">
        <f t="shared" si="574"/>
        <v>-1</v>
      </c>
      <c r="CP188" s="8">
        <f t="shared" si="574"/>
        <v>-5.2918454935622314</v>
      </c>
      <c r="CQ188" s="8">
        <f t="shared" si="574"/>
        <v>0.99678456591639875</v>
      </c>
      <c r="CR188" s="8">
        <f t="shared" si="574"/>
        <v>-1</v>
      </c>
      <c r="CS188" s="8" t="e">
        <f t="shared" si="574"/>
        <v>#DIV/0!</v>
      </c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</row>
    <row r="189" spans="2:113">
      <c r="B189" s="10" t="s">
        <v>92</v>
      </c>
      <c r="O189" s="10"/>
      <c r="P189" s="10"/>
      <c r="Q189" s="10"/>
      <c r="R189" s="10"/>
      <c r="S189" s="275">
        <v>-64096</v>
      </c>
      <c r="T189" s="275">
        <v>-66033</v>
      </c>
      <c r="U189" s="275">
        <v>-68979</v>
      </c>
      <c r="V189" s="275">
        <f>-269799-S189-T189-U189</f>
        <v>-70691</v>
      </c>
      <c r="W189" s="275">
        <v>-71573</v>
      </c>
      <c r="X189" s="275">
        <v>-78431</v>
      </c>
      <c r="Y189" s="275">
        <v>-81390</v>
      </c>
      <c r="Z189" s="275">
        <v>-79926</v>
      </c>
      <c r="AA189" s="275">
        <v>-70289</v>
      </c>
      <c r="AB189" s="275">
        <f>-132520-AA189</f>
        <v>-62231</v>
      </c>
      <c r="AC189" s="335">
        <f>-56675+1909</f>
        <v>-54766</v>
      </c>
      <c r="AD189" s="275">
        <v>-58218</v>
      </c>
      <c r="AE189" s="275">
        <v>-57562</v>
      </c>
      <c r="AF189" s="275">
        <f>-115242-AE189</f>
        <v>-57680</v>
      </c>
      <c r="AG189" s="275">
        <v>-61067</v>
      </c>
      <c r="AH189" s="275">
        <v>-65209</v>
      </c>
      <c r="AI189" s="335">
        <v>-65274</v>
      </c>
      <c r="AJ189" s="335">
        <f>-131340-AI189</f>
        <v>-66066</v>
      </c>
      <c r="AK189" s="275">
        <v>-69976</v>
      </c>
      <c r="AL189" s="275">
        <v>-73408</v>
      </c>
      <c r="AM189" s="335">
        <v>-73974</v>
      </c>
      <c r="AN189" s="335">
        <v>-74814</v>
      </c>
      <c r="AO189" s="335">
        <f>-222514-AM189-AN189</f>
        <v>-73726</v>
      </c>
      <c r="AP189" s="335">
        <f>-85725+7700</f>
        <v>-78025</v>
      </c>
      <c r="AQ189" s="335">
        <v>-77803</v>
      </c>
      <c r="AR189" s="335">
        <v>-79995</v>
      </c>
      <c r="AS189" s="335">
        <v>-79839</v>
      </c>
      <c r="AT189" s="335">
        <f>-315868-AQ189-AR189-AS189</f>
        <v>-78231</v>
      </c>
      <c r="AU189" s="335">
        <v>-82363</v>
      </c>
      <c r="AV189" s="335">
        <f>-163860-AU189</f>
        <v>-81497</v>
      </c>
      <c r="AW189" s="335">
        <f>-247608-AU189-AV189</f>
        <v>-83748</v>
      </c>
      <c r="AX189" s="335">
        <f>-331565-AU189-AV189-AW189</f>
        <v>-83957</v>
      </c>
      <c r="AY189" s="275"/>
      <c r="AZ189" s="275"/>
      <c r="BA189" s="275"/>
      <c r="BB189" s="275"/>
      <c r="BC189" s="275"/>
      <c r="BD189" s="275"/>
      <c r="BE189" s="275"/>
      <c r="BF189" s="275"/>
      <c r="BG189" s="275"/>
      <c r="BH189" s="275"/>
      <c r="BI189" s="275"/>
      <c r="BJ189" s="275"/>
      <c r="BK189" s="275"/>
      <c r="BL189" s="275"/>
      <c r="BM189" s="275"/>
      <c r="BN189" s="275"/>
      <c r="BO189" s="275"/>
      <c r="BP189" s="275"/>
      <c r="BQ189" s="275"/>
      <c r="BR189" s="275"/>
      <c r="BS189" s="275"/>
      <c r="BT189" s="275"/>
      <c r="BU189" s="275"/>
      <c r="BV189" s="275"/>
      <c r="CD189" s="8"/>
      <c r="CE189" s="8"/>
      <c r="CF189" s="8"/>
      <c r="CG189" s="8"/>
      <c r="CH189" s="8">
        <f t="shared" si="574"/>
        <v>0.11665314528207693</v>
      </c>
      <c r="CI189" s="8">
        <f t="shared" si="574"/>
        <v>0.18775460754471252</v>
      </c>
      <c r="CJ189" s="8">
        <f t="shared" si="574"/>
        <v>0.1799243247945026</v>
      </c>
      <c r="CK189" s="8">
        <f t="shared" si="574"/>
        <v>0.13063897808773395</v>
      </c>
      <c r="CL189" s="8">
        <f t="shared" si="574"/>
        <v>-1.7939725874282164E-2</v>
      </c>
      <c r="CM189" s="8">
        <f t="shared" si="574"/>
        <v>-0.2065509811171603</v>
      </c>
      <c r="CN189" s="8">
        <f t="shared" si="574"/>
        <v>-0.32711635336036371</v>
      </c>
      <c r="CO189" s="8">
        <f t="shared" si="574"/>
        <v>-0.27160123113880341</v>
      </c>
      <c r="CP189" s="8">
        <f t="shared" si="574"/>
        <v>-0.18106673875001777</v>
      </c>
      <c r="CQ189" s="8">
        <f t="shared" si="574"/>
        <v>-7.3130754768523709E-2</v>
      </c>
      <c r="CR189" s="8">
        <f t="shared" si="574"/>
        <v>0.11505313515684912</v>
      </c>
      <c r="CS189" s="8">
        <f t="shared" si="574"/>
        <v>0.12008313579992436</v>
      </c>
      <c r="CT189" s="8">
        <f t="shared" ref="CT189:DI194" si="575">AI189/AE189-1</f>
        <v>0.13397727667558468</v>
      </c>
      <c r="CU189" s="8">
        <f t="shared" si="575"/>
        <v>0.14538834951456314</v>
      </c>
      <c r="CV189" s="8">
        <f t="shared" si="575"/>
        <v>0.14588894165424859</v>
      </c>
      <c r="CW189" s="8">
        <f t="shared" si="575"/>
        <v>0.12573417779754337</v>
      </c>
      <c r="CX189" s="8">
        <f t="shared" si="575"/>
        <v>0.13328430921959744</v>
      </c>
      <c r="CY189" s="8">
        <f t="shared" si="575"/>
        <v>0.13241304150395061</v>
      </c>
      <c r="CZ189" s="8">
        <f t="shared" si="575"/>
        <v>5.3589802217903326E-2</v>
      </c>
      <c r="DA189" s="8">
        <f t="shared" si="575"/>
        <v>6.2895052310374844E-2</v>
      </c>
      <c r="DB189" s="8">
        <f t="shared" si="575"/>
        <v>5.1761429691513205E-2</v>
      </c>
      <c r="DC189" s="8">
        <f t="shared" si="575"/>
        <v>6.9251744325928399E-2</v>
      </c>
      <c r="DD189" s="8">
        <f t="shared" si="575"/>
        <v>8.2915118140140631E-2</v>
      </c>
      <c r="DE189" s="8">
        <f t="shared" si="575"/>
        <v>2.6401794296699865E-3</v>
      </c>
      <c r="DF189" s="8">
        <f t="shared" si="575"/>
        <v>5.8609565183861845E-2</v>
      </c>
      <c r="DG189" s="8">
        <f t="shared" si="575"/>
        <v>1.8776173510844485E-2</v>
      </c>
      <c r="DH189" s="8">
        <f t="shared" si="575"/>
        <v>4.8961034081088206E-2</v>
      </c>
      <c r="DI189" s="8">
        <f t="shared" si="575"/>
        <v>7.3193491071314343E-2</v>
      </c>
    </row>
    <row r="190" spans="2:113">
      <c r="B190" s="10" t="s">
        <v>679</v>
      </c>
      <c r="O190" s="10"/>
      <c r="P190" s="10"/>
      <c r="Q190" s="10"/>
      <c r="R190" s="10"/>
      <c r="S190" s="275">
        <f t="shared" ref="S190:Y190" si="576">S145+S188+S189</f>
        <v>67618</v>
      </c>
      <c r="T190" s="275">
        <f t="shared" si="576"/>
        <v>65976</v>
      </c>
      <c r="U190" s="275">
        <f t="shared" si="576"/>
        <v>62292</v>
      </c>
      <c r="V190" s="275">
        <f t="shared" si="576"/>
        <v>42342</v>
      </c>
      <c r="W190" s="275">
        <f t="shared" si="576"/>
        <v>67786</v>
      </c>
      <c r="X190" s="275">
        <f t="shared" si="576"/>
        <v>58816</v>
      </c>
      <c r="Y190" s="275">
        <f t="shared" si="576"/>
        <v>61344</v>
      </c>
      <c r="Z190" s="275">
        <f t="shared" ref="Z190:AX190" si="577">Z150+Z188+Z189</f>
        <v>33634</v>
      </c>
      <c r="AA190" s="275">
        <f t="shared" si="577"/>
        <v>47466</v>
      </c>
      <c r="AB190" s="275">
        <f t="shared" si="577"/>
        <v>55543</v>
      </c>
      <c r="AC190" s="275">
        <f t="shared" si="577"/>
        <v>60940</v>
      </c>
      <c r="AD190" s="275">
        <f t="shared" si="577"/>
        <v>49228</v>
      </c>
      <c r="AE190" s="275">
        <f t="shared" si="577"/>
        <v>58397</v>
      </c>
      <c r="AF190" s="275">
        <f t="shared" si="577"/>
        <v>42916</v>
      </c>
      <c r="AG190" s="275">
        <f t="shared" si="577"/>
        <v>31581</v>
      </c>
      <c r="AH190" s="275">
        <f t="shared" si="577"/>
        <v>-6125</v>
      </c>
      <c r="AI190" s="275">
        <f t="shared" si="577"/>
        <v>35691</v>
      </c>
      <c r="AJ190" s="275">
        <f t="shared" si="577"/>
        <v>30297</v>
      </c>
      <c r="AK190" s="275">
        <f t="shared" si="577"/>
        <v>17185</v>
      </c>
      <c r="AL190" s="275">
        <f t="shared" si="577"/>
        <v>5871</v>
      </c>
      <c r="AM190" s="275">
        <f t="shared" si="577"/>
        <v>35059</v>
      </c>
      <c r="AN190" s="275">
        <f t="shared" si="577"/>
        <v>23751</v>
      </c>
      <c r="AO190" s="275">
        <f t="shared" si="577"/>
        <v>30028</v>
      </c>
      <c r="AP190" s="275">
        <f t="shared" si="577"/>
        <v>25558</v>
      </c>
      <c r="AQ190" s="275">
        <f t="shared" si="577"/>
        <v>31218</v>
      </c>
      <c r="AR190" s="275">
        <f t="shared" si="577"/>
        <v>18445</v>
      </c>
      <c r="AS190" s="275">
        <f t="shared" si="577"/>
        <v>32218</v>
      </c>
      <c r="AT190" s="275">
        <f t="shared" si="577"/>
        <v>35325</v>
      </c>
      <c r="AU190" s="275">
        <f t="shared" si="577"/>
        <v>16979</v>
      </c>
      <c r="AV190" s="275">
        <f t="shared" si="577"/>
        <v>10484</v>
      </c>
      <c r="AW190" s="275">
        <f t="shared" si="577"/>
        <v>22266</v>
      </c>
      <c r="AX190" s="275">
        <f t="shared" si="577"/>
        <v>41184</v>
      </c>
      <c r="AY190" s="275"/>
      <c r="AZ190" s="275"/>
      <c r="BA190" s="275"/>
      <c r="BB190" s="275"/>
      <c r="BC190" s="275"/>
      <c r="BD190" s="275"/>
      <c r="BE190" s="275"/>
      <c r="BF190" s="275"/>
      <c r="BG190" s="275"/>
      <c r="BH190" s="275"/>
      <c r="BI190" s="275"/>
      <c r="BJ190" s="275"/>
      <c r="BK190" s="275"/>
      <c r="BL190" s="275"/>
      <c r="BM190" s="275"/>
      <c r="BN190" s="275"/>
      <c r="BO190" s="275"/>
      <c r="BP190" s="275"/>
      <c r="BQ190" s="275"/>
      <c r="BR190" s="275"/>
      <c r="BS190" s="275"/>
      <c r="BT190" s="275"/>
      <c r="BU190" s="275"/>
      <c r="BV190" s="275"/>
      <c r="CD190" s="8"/>
      <c r="CE190" s="8"/>
      <c r="CF190" s="8"/>
      <c r="CG190" s="8"/>
      <c r="CH190" s="8">
        <f t="shared" si="574"/>
        <v>2.4845455352124901E-3</v>
      </c>
      <c r="CI190" s="8">
        <f t="shared" si="574"/>
        <v>-0.10852431187098344</v>
      </c>
      <c r="CJ190" s="8">
        <f t="shared" si="574"/>
        <v>-1.52186476594105E-2</v>
      </c>
      <c r="CK190" s="8">
        <f t="shared" si="574"/>
        <v>-0.20565868404893484</v>
      </c>
      <c r="CL190" s="8">
        <f t="shared" si="574"/>
        <v>-0.29976691352196616</v>
      </c>
      <c r="CM190" s="8">
        <f t="shared" si="574"/>
        <v>-5.5648122959738866E-2</v>
      </c>
      <c r="CN190" s="8">
        <f t="shared" si="574"/>
        <v>-6.5858111632759453E-3</v>
      </c>
      <c r="CO190" s="8">
        <f t="shared" si="574"/>
        <v>0.46363798537194501</v>
      </c>
      <c r="CP190" s="8">
        <f t="shared" si="574"/>
        <v>0.23029115577465986</v>
      </c>
      <c r="CQ190" s="8">
        <f t="shared" si="574"/>
        <v>-0.2273373782474839</v>
      </c>
      <c r="CR190" s="8">
        <f t="shared" si="574"/>
        <v>-0.48176895306859202</v>
      </c>
      <c r="CS190" s="8">
        <f t="shared" si="574"/>
        <v>-1.1244210611846917</v>
      </c>
      <c r="CT190" s="8">
        <f t="shared" si="575"/>
        <v>-0.38882134356216924</v>
      </c>
      <c r="CU190" s="8">
        <f t="shared" si="575"/>
        <v>-0.29403951906049031</v>
      </c>
      <c r="CV190" s="8">
        <f t="shared" si="575"/>
        <v>-0.45584370349260628</v>
      </c>
      <c r="CW190" s="8">
        <f t="shared" si="575"/>
        <v>-1.958530612244898</v>
      </c>
      <c r="CX190" s="8">
        <f t="shared" si="575"/>
        <v>-1.7707545319548323E-2</v>
      </c>
      <c r="CY190" s="8">
        <f t="shared" si="575"/>
        <v>-0.21606099613823149</v>
      </c>
      <c r="CZ190" s="8">
        <f t="shared" si="575"/>
        <v>0.74733779458830374</v>
      </c>
      <c r="DA190" s="8">
        <f t="shared" si="575"/>
        <v>3.3532617952648609</v>
      </c>
      <c r="DB190" s="8">
        <f t="shared" si="575"/>
        <v>-0.10955817336489915</v>
      </c>
      <c r="DC190" s="8">
        <f t="shared" si="575"/>
        <v>-0.22340111995284406</v>
      </c>
      <c r="DD190" s="8">
        <f t="shared" si="575"/>
        <v>7.2931930198481432E-2</v>
      </c>
      <c r="DE190" s="8">
        <f t="shared" si="575"/>
        <v>0.38215040300492986</v>
      </c>
      <c r="DF190" s="8">
        <f t="shared" si="575"/>
        <v>-0.45611506182330708</v>
      </c>
      <c r="DG190" s="8">
        <f t="shared" si="575"/>
        <v>-0.43160748170235841</v>
      </c>
      <c r="DH190" s="8">
        <f t="shared" si="575"/>
        <v>-0.30889564839530692</v>
      </c>
      <c r="DI190" s="8">
        <f t="shared" si="575"/>
        <v>0.16585987261146506</v>
      </c>
    </row>
    <row r="191" spans="2:113">
      <c r="B191" s="10" t="s">
        <v>680</v>
      </c>
      <c r="O191" s="10"/>
      <c r="P191" s="10"/>
      <c r="Q191" s="10"/>
      <c r="R191" s="10"/>
      <c r="S191" s="275">
        <v>-2594</v>
      </c>
      <c r="T191" s="275">
        <v>-5551</v>
      </c>
      <c r="U191" s="275">
        <v>-5917</v>
      </c>
      <c r="V191" s="275">
        <v>-4839</v>
      </c>
      <c r="W191" s="275">
        <v>-5519</v>
      </c>
      <c r="X191" s="275">
        <v>-5524</v>
      </c>
      <c r="Y191" s="275">
        <v>-5839</v>
      </c>
      <c r="Z191" s="275">
        <v>-6062</v>
      </c>
      <c r="AA191" s="275">
        <v>-7026</v>
      </c>
      <c r="AB191" s="275">
        <v>-7172</v>
      </c>
      <c r="AC191" s="275">
        <v>-11022</v>
      </c>
      <c r="AD191" s="275">
        <v>-15900</v>
      </c>
      <c r="AE191" s="275">
        <v>-18053</v>
      </c>
      <c r="AF191" s="275">
        <v>-19408</v>
      </c>
      <c r="AG191" s="275">
        <v>-18138</v>
      </c>
      <c r="AH191" s="275">
        <v>-22714</v>
      </c>
      <c r="AI191" s="275">
        <f>-18101+6997-5184+73</f>
        <v>-16215</v>
      </c>
      <c r="AJ191" s="275">
        <v>-29098</v>
      </c>
      <c r="AK191" s="275">
        <v>-20505</v>
      </c>
      <c r="AL191" s="275">
        <v>-28909</v>
      </c>
      <c r="AM191" s="275">
        <v>-22264</v>
      </c>
      <c r="AN191" s="275">
        <v>-24759</v>
      </c>
      <c r="AO191" s="275">
        <v>-28995</v>
      </c>
      <c r="AP191" s="275">
        <v>-32238</v>
      </c>
      <c r="AQ191" s="275">
        <v>-20364</v>
      </c>
      <c r="AR191" s="275">
        <v>-26241</v>
      </c>
      <c r="AS191" s="275">
        <v>-21476</v>
      </c>
      <c r="AT191" s="275">
        <v>-23142</v>
      </c>
      <c r="AU191" s="275">
        <v>-25159</v>
      </c>
      <c r="AV191" s="275">
        <f>-93184-AU191-AW191-AX191</f>
        <v>-23530</v>
      </c>
      <c r="AW191" s="275">
        <v>-24372</v>
      </c>
      <c r="AX191" s="275">
        <v>-20123</v>
      </c>
      <c r="AY191" s="275"/>
      <c r="AZ191" s="275"/>
      <c r="BA191" s="275"/>
      <c r="BB191" s="275"/>
      <c r="BC191" s="275"/>
      <c r="BD191" s="275"/>
      <c r="BE191" s="275"/>
      <c r="BF191" s="275"/>
      <c r="BG191" s="275"/>
      <c r="BH191" s="275"/>
      <c r="BI191" s="275"/>
      <c r="BJ191" s="275"/>
      <c r="BK191" s="275"/>
      <c r="BL191" s="275"/>
      <c r="BM191" s="275"/>
      <c r="BN191" s="275"/>
      <c r="BO191" s="275"/>
      <c r="BP191" s="275"/>
      <c r="BQ191" s="275"/>
      <c r="BR191" s="275"/>
      <c r="BS191" s="275"/>
      <c r="BT191" s="275"/>
      <c r="BU191" s="275"/>
      <c r="BV191" s="275"/>
      <c r="CD191" s="8"/>
      <c r="CE191" s="8"/>
      <c r="CF191" s="8"/>
      <c r="CG191" s="8"/>
      <c r="CH191" s="8">
        <f t="shared" si="574"/>
        <v>1.1276021588280649</v>
      </c>
      <c r="CI191" s="8">
        <f t="shared" si="574"/>
        <v>-4.8639884705458103E-3</v>
      </c>
      <c r="CJ191" s="8">
        <f t="shared" si="574"/>
        <v>-1.3182355923609945E-2</v>
      </c>
      <c r="CK191" s="8">
        <f t="shared" si="574"/>
        <v>0.25273816904319069</v>
      </c>
      <c r="CL191" s="8">
        <f t="shared" si="574"/>
        <v>0.27305671317267621</v>
      </c>
      <c r="CM191" s="8">
        <f t="shared" si="574"/>
        <v>0.29833454018826933</v>
      </c>
      <c r="CN191" s="8">
        <f t="shared" si="574"/>
        <v>0.88765199520465843</v>
      </c>
      <c r="CO191" s="8">
        <f t="shared" si="574"/>
        <v>1.622896733751237</v>
      </c>
      <c r="CP191" s="8">
        <f t="shared" si="574"/>
        <v>1.5694563051522916</v>
      </c>
      <c r="CQ191" s="8">
        <f t="shared" si="574"/>
        <v>1.7060791968767428</v>
      </c>
      <c r="CR191" s="8">
        <f t="shared" si="574"/>
        <v>0.64561785519869352</v>
      </c>
      <c r="CS191" s="8">
        <f t="shared" si="574"/>
        <v>0.42855345911949683</v>
      </c>
      <c r="CT191" s="8">
        <f t="shared" si="575"/>
        <v>-0.10181133329640502</v>
      </c>
      <c r="CU191" s="8">
        <f t="shared" si="575"/>
        <v>0.49927864798021426</v>
      </c>
      <c r="CV191" s="8">
        <f t="shared" si="575"/>
        <v>0.13049950380416808</v>
      </c>
      <c r="CW191" s="8">
        <f t="shared" si="575"/>
        <v>0.27273927973936773</v>
      </c>
      <c r="CX191" s="8">
        <f t="shared" si="575"/>
        <v>0.37304964539007091</v>
      </c>
      <c r="CY191" s="8">
        <f t="shared" si="575"/>
        <v>-0.14911677778541477</v>
      </c>
      <c r="CZ191" s="8">
        <f t="shared" si="575"/>
        <v>0.41404535479151416</v>
      </c>
      <c r="DA191" s="8">
        <f t="shared" si="575"/>
        <v>0.11515445017122694</v>
      </c>
      <c r="DB191" s="8">
        <f t="shared" si="575"/>
        <v>-8.5339561624146576E-2</v>
      </c>
      <c r="DC191" s="8">
        <f t="shared" si="575"/>
        <v>5.9857021689082801E-2</v>
      </c>
      <c r="DD191" s="8">
        <f t="shared" si="575"/>
        <v>-0.25932057251250218</v>
      </c>
      <c r="DE191" s="8">
        <f t="shared" si="575"/>
        <v>-0.28215149823190022</v>
      </c>
      <c r="DF191" s="8">
        <f t="shared" si="575"/>
        <v>0.23546454527597716</v>
      </c>
      <c r="DG191" s="8">
        <f t="shared" si="575"/>
        <v>-0.10331161160016766</v>
      </c>
      <c r="DH191" s="8">
        <f t="shared" si="575"/>
        <v>0.13484820264481279</v>
      </c>
      <c r="DI191" s="8">
        <f t="shared" si="575"/>
        <v>-0.1304554489672457</v>
      </c>
    </row>
    <row r="192" spans="2:113">
      <c r="B192" s="10" t="s">
        <v>96</v>
      </c>
      <c r="O192" s="10"/>
      <c r="P192" s="10"/>
      <c r="Q192" s="10"/>
      <c r="R192" s="10"/>
      <c r="S192" s="275">
        <f>S190+S191</f>
        <v>65024</v>
      </c>
      <c r="T192" s="275">
        <f t="shared" ref="T192:AE192" si="578">T190+T191</f>
        <v>60425</v>
      </c>
      <c r="U192" s="275">
        <f t="shared" si="578"/>
        <v>56375</v>
      </c>
      <c r="V192" s="275">
        <f t="shared" si="578"/>
        <v>37503</v>
      </c>
      <c r="W192" s="275">
        <f t="shared" si="578"/>
        <v>62267</v>
      </c>
      <c r="X192" s="275">
        <f t="shared" si="578"/>
        <v>53292</v>
      </c>
      <c r="Y192" s="275">
        <f t="shared" si="578"/>
        <v>55505</v>
      </c>
      <c r="Z192" s="275">
        <f t="shared" si="578"/>
        <v>27572</v>
      </c>
      <c r="AA192" s="275">
        <f t="shared" si="578"/>
        <v>40440</v>
      </c>
      <c r="AB192" s="275">
        <f t="shared" si="578"/>
        <v>48371</v>
      </c>
      <c r="AC192" s="275">
        <f t="shared" si="578"/>
        <v>49918</v>
      </c>
      <c r="AD192" s="275">
        <f t="shared" si="578"/>
        <v>33328</v>
      </c>
      <c r="AE192" s="275">
        <f t="shared" si="578"/>
        <v>40344</v>
      </c>
      <c r="AF192" s="275">
        <f t="shared" ref="AF192:AX192" si="579">AF190+AF191</f>
        <v>23508</v>
      </c>
      <c r="AG192" s="275">
        <f t="shared" si="579"/>
        <v>13443</v>
      </c>
      <c r="AH192" s="275">
        <f t="shared" si="579"/>
        <v>-28839</v>
      </c>
      <c r="AI192" s="275">
        <f t="shared" si="579"/>
        <v>19476</v>
      </c>
      <c r="AJ192" s="275">
        <f t="shared" si="579"/>
        <v>1199</v>
      </c>
      <c r="AK192" s="275">
        <f t="shared" si="579"/>
        <v>-3320</v>
      </c>
      <c r="AL192" s="275">
        <f t="shared" si="579"/>
        <v>-23038</v>
      </c>
      <c r="AM192" s="275">
        <f t="shared" si="579"/>
        <v>12795</v>
      </c>
      <c r="AN192" s="275">
        <f t="shared" si="579"/>
        <v>-1008</v>
      </c>
      <c r="AO192" s="275">
        <f t="shared" si="579"/>
        <v>1033</v>
      </c>
      <c r="AP192" s="275">
        <f t="shared" si="579"/>
        <v>-6680</v>
      </c>
      <c r="AQ192" s="275">
        <f t="shared" si="579"/>
        <v>10854</v>
      </c>
      <c r="AR192" s="275">
        <f t="shared" si="579"/>
        <v>-7796</v>
      </c>
      <c r="AS192" s="275">
        <f t="shared" si="579"/>
        <v>10742</v>
      </c>
      <c r="AT192" s="275">
        <f t="shared" si="579"/>
        <v>12183</v>
      </c>
      <c r="AU192" s="275">
        <f t="shared" si="579"/>
        <v>-8180</v>
      </c>
      <c r="AV192" s="275">
        <f t="shared" si="579"/>
        <v>-13046</v>
      </c>
      <c r="AW192" s="275">
        <f t="shared" si="579"/>
        <v>-2106</v>
      </c>
      <c r="AX192" s="275">
        <f t="shared" si="579"/>
        <v>21061</v>
      </c>
      <c r="AY192" s="275"/>
      <c r="AZ192" s="275"/>
      <c r="BA192" s="275"/>
      <c r="BB192" s="275"/>
      <c r="BC192" s="275"/>
      <c r="BD192" s="275"/>
      <c r="BE192" s="275"/>
      <c r="BF192" s="275"/>
      <c r="BG192" s="275"/>
      <c r="BH192" s="275"/>
      <c r="BI192" s="275"/>
      <c r="BJ192" s="275"/>
      <c r="BK192" s="275"/>
      <c r="BL192" s="275"/>
      <c r="BM192" s="275"/>
      <c r="BN192" s="275"/>
      <c r="BO192" s="275"/>
      <c r="BP192" s="275"/>
      <c r="BQ192" s="275"/>
      <c r="BR192" s="275"/>
      <c r="BS192" s="275"/>
      <c r="BT192" s="275"/>
      <c r="BU192" s="275"/>
      <c r="BV192" s="275"/>
      <c r="CD192" s="8"/>
      <c r="CE192" s="8"/>
      <c r="CF192" s="8"/>
      <c r="CG192" s="8"/>
      <c r="CH192" s="8">
        <f t="shared" si="574"/>
        <v>-4.239972933070868E-2</v>
      </c>
      <c r="CI192" s="8">
        <f t="shared" si="574"/>
        <v>-0.11804716590815056</v>
      </c>
      <c r="CJ192" s="8">
        <f t="shared" si="574"/>
        <v>-1.543237250554319E-2</v>
      </c>
      <c r="CK192" s="8">
        <f t="shared" si="574"/>
        <v>-0.26480548222808842</v>
      </c>
      <c r="CL192" s="8">
        <f t="shared" si="574"/>
        <v>-0.35053880867875442</v>
      </c>
      <c r="CM192" s="8">
        <f t="shared" si="574"/>
        <v>-9.2340313743150992E-2</v>
      </c>
      <c r="CN192" s="8">
        <f t="shared" si="574"/>
        <v>-0.10065759841455724</v>
      </c>
      <c r="CO192" s="8">
        <f t="shared" si="574"/>
        <v>0.20876251269403734</v>
      </c>
      <c r="CP192" s="8">
        <f t="shared" si="574"/>
        <v>-2.3738872403560318E-3</v>
      </c>
      <c r="CQ192" s="8">
        <f t="shared" si="574"/>
        <v>-0.51400632610448405</v>
      </c>
      <c r="CR192" s="8">
        <f t="shared" si="574"/>
        <v>-0.73069834528626942</v>
      </c>
      <c r="CS192" s="8">
        <f t="shared" si="574"/>
        <v>-1.8653084493518963</v>
      </c>
      <c r="CT192" s="8">
        <f t="shared" si="575"/>
        <v>-0.51725163593099344</v>
      </c>
      <c r="CU192" s="8">
        <f t="shared" si="575"/>
        <v>-0.94899608643865918</v>
      </c>
      <c r="CV192" s="8">
        <f t="shared" si="575"/>
        <v>-1.2469686825857322</v>
      </c>
      <c r="CW192" s="8">
        <f t="shared" si="575"/>
        <v>-0.20115121883560461</v>
      </c>
      <c r="CX192" s="8">
        <f t="shared" si="575"/>
        <v>-0.34303758471965495</v>
      </c>
      <c r="CY192" s="8">
        <f t="shared" si="575"/>
        <v>-1.8407005838198498</v>
      </c>
      <c r="CZ192" s="8">
        <f t="shared" si="575"/>
        <v>-1.3111445783132529</v>
      </c>
      <c r="DA192" s="8">
        <f t="shared" si="575"/>
        <v>-0.71004427467662123</v>
      </c>
      <c r="DB192" s="8">
        <f t="shared" si="575"/>
        <v>-0.15169988276670576</v>
      </c>
      <c r="DC192" s="8">
        <f t="shared" si="575"/>
        <v>6.7341269841269842</v>
      </c>
      <c r="DD192" s="8">
        <f t="shared" si="575"/>
        <v>9.3988383349467561</v>
      </c>
      <c r="DE192" s="8">
        <f t="shared" si="575"/>
        <v>-2.8238023952095808</v>
      </c>
      <c r="DF192" s="8">
        <f t="shared" si="575"/>
        <v>-1.753639211350654</v>
      </c>
      <c r="DG192" s="8">
        <f t="shared" si="575"/>
        <v>0.6734222678296562</v>
      </c>
      <c r="DH192" s="8">
        <f t="shared" si="575"/>
        <v>-1.1960528765592999</v>
      </c>
      <c r="DI192" s="8">
        <f t="shared" si="575"/>
        <v>0.72872034802593788</v>
      </c>
    </row>
    <row r="193" spans="2:113">
      <c r="B193" s="10" t="s">
        <v>681</v>
      </c>
      <c r="O193" s="10"/>
      <c r="P193" s="10"/>
      <c r="Q193" s="10"/>
      <c r="R193" s="10"/>
      <c r="S193" s="275">
        <v>-12583</v>
      </c>
      <c r="T193" s="275">
        <v>-9066</v>
      </c>
      <c r="U193" s="275">
        <v>-10174</v>
      </c>
      <c r="V193" s="275">
        <v>-6737</v>
      </c>
      <c r="W193" s="275">
        <v>-9785</v>
      </c>
      <c r="X193" s="275">
        <v>-10407</v>
      </c>
      <c r="Y193" s="275">
        <v>-7050</v>
      </c>
      <c r="Z193" s="275">
        <v>-4100</v>
      </c>
      <c r="AA193" s="275">
        <v>-8585</v>
      </c>
      <c r="AB193" s="275">
        <v>-9987</v>
      </c>
      <c r="AC193" s="275">
        <v>-8841</v>
      </c>
      <c r="AD193" s="275">
        <v>-2539</v>
      </c>
      <c r="AE193" s="275">
        <v>-6438</v>
      </c>
      <c r="AF193" s="275">
        <v>2662</v>
      </c>
      <c r="AG193" s="275">
        <v>-9281</v>
      </c>
      <c r="AH193" s="275">
        <v>21072</v>
      </c>
      <c r="AI193" s="275">
        <v>-4941</v>
      </c>
      <c r="AJ193" s="275">
        <v>8507</v>
      </c>
      <c r="AK193" s="275">
        <v>-1920</v>
      </c>
      <c r="AL193" s="275">
        <v>11135</v>
      </c>
      <c r="AM193" s="275">
        <v>11175</v>
      </c>
      <c r="AN193" s="275">
        <v>9805</v>
      </c>
      <c r="AO193" s="275">
        <v>8423</v>
      </c>
      <c r="AP193" s="275">
        <v>-1385</v>
      </c>
      <c r="AQ193" s="275">
        <v>3254</v>
      </c>
      <c r="AR193" s="275">
        <v>5154</v>
      </c>
      <c r="AS193" s="275">
        <v>6921</v>
      </c>
      <c r="AT193" s="275">
        <v>2079</v>
      </c>
      <c r="AU193" s="275">
        <v>8203</v>
      </c>
      <c r="AV193" s="275">
        <v>-10592</v>
      </c>
      <c r="AW193" s="275">
        <v>-3162</v>
      </c>
      <c r="AX193" s="275">
        <v>-15793</v>
      </c>
      <c r="AY193" s="275"/>
      <c r="AZ193" s="275"/>
      <c r="BA193" s="275"/>
      <c r="BB193" s="275"/>
      <c r="BC193" s="275"/>
      <c r="BD193" s="275"/>
      <c r="BE193" s="275"/>
      <c r="BF193" s="275"/>
      <c r="BG193" s="275"/>
      <c r="BH193" s="275"/>
      <c r="BI193" s="275"/>
      <c r="BJ193" s="275"/>
      <c r="BK193" s="275"/>
      <c r="BL193" s="275"/>
      <c r="BM193" s="275"/>
      <c r="BN193" s="275"/>
      <c r="BO193" s="275"/>
      <c r="BP193" s="275"/>
      <c r="BQ193" s="275"/>
      <c r="BR193" s="275"/>
      <c r="BS193" s="275"/>
      <c r="BT193" s="275"/>
      <c r="BU193" s="275"/>
      <c r="BV193" s="275"/>
      <c r="CD193" s="8"/>
      <c r="CE193" s="8"/>
      <c r="CF193" s="8"/>
      <c r="CG193" s="8"/>
      <c r="CH193" s="8">
        <f t="shared" si="574"/>
        <v>-0.22236350631804813</v>
      </c>
      <c r="CI193" s="8">
        <f t="shared" si="574"/>
        <v>0.14791528788881525</v>
      </c>
      <c r="CJ193" s="8">
        <f t="shared" si="574"/>
        <v>-0.30705720463927655</v>
      </c>
      <c r="CK193" s="8">
        <f t="shared" si="574"/>
        <v>-0.39142051358171293</v>
      </c>
      <c r="CL193" s="8">
        <f t="shared" si="574"/>
        <v>-0.12263668880940215</v>
      </c>
      <c r="CM193" s="8">
        <f t="shared" si="574"/>
        <v>-4.0357451715191672E-2</v>
      </c>
      <c r="CN193" s="8">
        <f t="shared" si="574"/>
        <v>0.25404255319148938</v>
      </c>
      <c r="CO193" s="8">
        <f t="shared" si="574"/>
        <v>-0.38073170731707318</v>
      </c>
      <c r="CP193" s="8">
        <f t="shared" si="574"/>
        <v>-0.25008736167734424</v>
      </c>
      <c r="CQ193" s="8">
        <f t="shared" si="574"/>
        <v>-1.2665465104636027</v>
      </c>
      <c r="CR193" s="8">
        <f t="shared" si="574"/>
        <v>4.9768125777627015E-2</v>
      </c>
      <c r="CS193" s="8">
        <f t="shared" si="574"/>
        <v>-9.2993304450571088</v>
      </c>
      <c r="CT193" s="8">
        <f t="shared" si="575"/>
        <v>-0.23252562907735319</v>
      </c>
      <c r="CU193" s="8">
        <f t="shared" si="575"/>
        <v>2.1957175056348608</v>
      </c>
      <c r="CV193" s="8">
        <f t="shared" si="575"/>
        <v>-0.79312574076069386</v>
      </c>
      <c r="CW193" s="8">
        <f t="shared" si="575"/>
        <v>-0.4715736522399393</v>
      </c>
      <c r="CX193" s="8">
        <f t="shared" si="575"/>
        <v>-3.2616879174256224</v>
      </c>
      <c r="CY193" s="8">
        <f t="shared" si="575"/>
        <v>0.15258022804749038</v>
      </c>
      <c r="CZ193" s="8">
        <f t="shared" si="575"/>
        <v>-5.3869791666666664</v>
      </c>
      <c r="DA193" s="8">
        <f t="shared" si="575"/>
        <v>-1.1243825774584644</v>
      </c>
      <c r="DB193" s="8">
        <f t="shared" si="575"/>
        <v>-0.7088143176733781</v>
      </c>
      <c r="DC193" s="8">
        <f t="shared" si="575"/>
        <v>-0.47434982151963279</v>
      </c>
      <c r="DD193" s="8">
        <f t="shared" si="575"/>
        <v>-0.17832126320788322</v>
      </c>
      <c r="DE193" s="8">
        <f t="shared" si="575"/>
        <v>-2.5010830324909747</v>
      </c>
      <c r="DF193" s="8">
        <f t="shared" si="575"/>
        <v>1.520897357098955</v>
      </c>
      <c r="DG193" s="8">
        <f t="shared" si="575"/>
        <v>-3.055102832751261</v>
      </c>
      <c r="DH193" s="8">
        <f t="shared" si="575"/>
        <v>-1.4568703944516688</v>
      </c>
      <c r="DI193" s="8">
        <f t="shared" si="575"/>
        <v>-8.5964405964405977</v>
      </c>
    </row>
    <row r="194" spans="2:113">
      <c r="B194" s="10" t="s">
        <v>100</v>
      </c>
      <c r="O194" s="10"/>
      <c r="P194" s="10"/>
      <c r="Q194" s="10"/>
      <c r="R194" s="10"/>
      <c r="S194" s="275">
        <f t="shared" ref="S194:AX194" si="580">S190+S191+S193</f>
        <v>52441</v>
      </c>
      <c r="T194" s="275">
        <f t="shared" si="580"/>
        <v>51359</v>
      </c>
      <c r="U194" s="275">
        <f t="shared" si="580"/>
        <v>46201</v>
      </c>
      <c r="V194" s="275">
        <f t="shared" si="580"/>
        <v>30766</v>
      </c>
      <c r="W194" s="275">
        <f t="shared" si="580"/>
        <v>52482</v>
      </c>
      <c r="X194" s="275">
        <f t="shared" si="580"/>
        <v>42885</v>
      </c>
      <c r="Y194" s="275">
        <f t="shared" si="580"/>
        <v>48455</v>
      </c>
      <c r="Z194" s="275">
        <f t="shared" si="580"/>
        <v>23472</v>
      </c>
      <c r="AA194" s="275">
        <f t="shared" si="580"/>
        <v>31855</v>
      </c>
      <c r="AB194" s="275">
        <f t="shared" si="580"/>
        <v>38384</v>
      </c>
      <c r="AC194" s="275">
        <f t="shared" si="580"/>
        <v>41077</v>
      </c>
      <c r="AD194" s="275">
        <f t="shared" si="580"/>
        <v>30789</v>
      </c>
      <c r="AE194" s="275">
        <f t="shared" si="580"/>
        <v>33906</v>
      </c>
      <c r="AF194" s="275">
        <f t="shared" si="580"/>
        <v>26170</v>
      </c>
      <c r="AG194" s="275">
        <f t="shared" si="580"/>
        <v>4162</v>
      </c>
      <c r="AH194" s="275">
        <f t="shared" si="580"/>
        <v>-7767</v>
      </c>
      <c r="AI194" s="275">
        <f t="shared" si="580"/>
        <v>14535</v>
      </c>
      <c r="AJ194" s="275">
        <f t="shared" si="580"/>
        <v>9706</v>
      </c>
      <c r="AK194" s="275">
        <f t="shared" si="580"/>
        <v>-5240</v>
      </c>
      <c r="AL194" s="275">
        <f t="shared" si="580"/>
        <v>-11903</v>
      </c>
      <c r="AM194" s="275">
        <f t="shared" si="580"/>
        <v>23970</v>
      </c>
      <c r="AN194" s="275">
        <f t="shared" si="580"/>
        <v>8797</v>
      </c>
      <c r="AO194" s="275">
        <f t="shared" si="580"/>
        <v>9456</v>
      </c>
      <c r="AP194" s="275">
        <f t="shared" si="580"/>
        <v>-8065</v>
      </c>
      <c r="AQ194" s="275">
        <f t="shared" si="580"/>
        <v>14108</v>
      </c>
      <c r="AR194" s="275">
        <f t="shared" si="580"/>
        <v>-2642</v>
      </c>
      <c r="AS194" s="275">
        <f t="shared" si="580"/>
        <v>17663</v>
      </c>
      <c r="AT194" s="275">
        <f t="shared" si="580"/>
        <v>14262</v>
      </c>
      <c r="AU194" s="275">
        <f t="shared" si="580"/>
        <v>23</v>
      </c>
      <c r="AV194" s="275">
        <f t="shared" si="580"/>
        <v>-23638</v>
      </c>
      <c r="AW194" s="275">
        <f t="shared" si="580"/>
        <v>-5268</v>
      </c>
      <c r="AX194" s="275">
        <f t="shared" si="580"/>
        <v>5268</v>
      </c>
      <c r="AY194" s="275"/>
      <c r="AZ194" s="275"/>
      <c r="BA194" s="275"/>
      <c r="BB194" s="275"/>
      <c r="BC194" s="275"/>
      <c r="BD194" s="275"/>
      <c r="BE194" s="275"/>
      <c r="BF194" s="275"/>
      <c r="BG194" s="275"/>
      <c r="BH194" s="275"/>
      <c r="BI194" s="275"/>
      <c r="BJ194" s="275"/>
      <c r="BK194" s="275"/>
      <c r="BL194" s="275"/>
      <c r="BM194" s="275"/>
      <c r="BN194" s="275"/>
      <c r="BO194" s="275"/>
      <c r="BP194" s="275"/>
      <c r="BQ194" s="275"/>
      <c r="BR194" s="275"/>
      <c r="BS194" s="275"/>
      <c r="BT194" s="275"/>
      <c r="BU194" s="275"/>
      <c r="BV194" s="275"/>
      <c r="CD194" s="8"/>
      <c r="CE194" s="8"/>
      <c r="CF194" s="8"/>
      <c r="CG194" s="8"/>
      <c r="CH194" s="8">
        <f t="shared" si="574"/>
        <v>7.8183101008755251E-4</v>
      </c>
      <c r="CI194" s="8">
        <f t="shared" si="574"/>
        <v>-0.16499542436573922</v>
      </c>
      <c r="CJ194" s="8">
        <f t="shared" si="574"/>
        <v>4.8786822796043294E-2</v>
      </c>
      <c r="CK194" s="8">
        <f t="shared" si="574"/>
        <v>-0.23707989338880586</v>
      </c>
      <c r="CL194" s="8">
        <f t="shared" si="574"/>
        <v>-0.39302999123509008</v>
      </c>
      <c r="CM194" s="8">
        <f t="shared" si="574"/>
        <v>-0.10495511251020173</v>
      </c>
      <c r="CN194" s="8">
        <f t="shared" si="574"/>
        <v>-0.15226498813331957</v>
      </c>
      <c r="CO194" s="8">
        <f t="shared" si="574"/>
        <v>0.31173312883435589</v>
      </c>
      <c r="CP194" s="8">
        <f t="shared" si="574"/>
        <v>6.4385496782294771E-2</v>
      </c>
      <c r="CQ194" s="8">
        <f t="shared" si="574"/>
        <v>-0.3182055022926219</v>
      </c>
      <c r="CR194" s="8">
        <f t="shared" si="574"/>
        <v>-0.8986780923631229</v>
      </c>
      <c r="CS194" s="8">
        <f t="shared" si="574"/>
        <v>-1.2522654194679919</v>
      </c>
      <c r="CT194" s="8">
        <f t="shared" si="575"/>
        <v>-0.57131481153778085</v>
      </c>
      <c r="CU194" s="8">
        <f t="shared" si="575"/>
        <v>-0.62911730989682835</v>
      </c>
      <c r="CV194" s="8">
        <f t="shared" si="575"/>
        <v>-2.2590100913022586</v>
      </c>
      <c r="CW194" s="8">
        <f t="shared" si="575"/>
        <v>0.53250933436333203</v>
      </c>
      <c r="CX194" s="8">
        <f t="shared" si="575"/>
        <v>0.64912280701754388</v>
      </c>
      <c r="CY194" s="8">
        <f t="shared" si="575"/>
        <v>-9.3653410261693826E-2</v>
      </c>
      <c r="CZ194" s="8">
        <f t="shared" si="575"/>
        <v>-2.8045801526717558</v>
      </c>
      <c r="DA194" s="8">
        <f t="shared" si="575"/>
        <v>-0.32243972107871965</v>
      </c>
      <c r="DB194" s="8">
        <f t="shared" si="575"/>
        <v>-0.41143095536086771</v>
      </c>
      <c r="DC194" s="8">
        <f t="shared" si="575"/>
        <v>-1.3003296578378993</v>
      </c>
      <c r="DD194" s="8">
        <f t="shared" si="575"/>
        <v>0.86791455160744491</v>
      </c>
      <c r="DE194" s="8">
        <f t="shared" si="575"/>
        <v>-2.7683818970861749</v>
      </c>
      <c r="DF194" s="8">
        <f t="shared" si="575"/>
        <v>-0.99836971930819396</v>
      </c>
      <c r="DG194" s="8">
        <f t="shared" si="575"/>
        <v>7.9470098410295229</v>
      </c>
      <c r="DH194" s="8">
        <f t="shared" si="575"/>
        <v>-1.2982505803091207</v>
      </c>
      <c r="DI194" s="8">
        <f t="shared" si="575"/>
        <v>-0.63062684055532181</v>
      </c>
    </row>
    <row r="195" spans="2:113"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399"/>
      <c r="AV195" s="399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</row>
    <row r="196" spans="2:113">
      <c r="B196" s="10" t="s">
        <v>913</v>
      </c>
      <c r="AA196" s="275">
        <v>0</v>
      </c>
      <c r="AB196" s="275">
        <v>0</v>
      </c>
      <c r="AC196" s="275">
        <f>-(410+105)*AC63</f>
        <v>-261036.41136363632</v>
      </c>
      <c r="AD196" s="275">
        <v>0</v>
      </c>
      <c r="AE196" s="275">
        <f>-12*'Master old'!P52</f>
        <v>-6852</v>
      </c>
      <c r="AF196" s="275"/>
      <c r="AG196" s="275"/>
      <c r="AH196" s="275"/>
      <c r="AI196" s="275"/>
      <c r="AJ196" s="275"/>
      <c r="AK196" s="275"/>
      <c r="AL196" s="275"/>
      <c r="AM196" s="275"/>
      <c r="AN196" s="275"/>
      <c r="AO196" s="275">
        <f>-190600+353700</f>
        <v>163100</v>
      </c>
      <c r="AP196" s="275"/>
      <c r="AQ196" s="275"/>
      <c r="AR196" s="275"/>
      <c r="AS196" s="275"/>
      <c r="AT196" s="275"/>
      <c r="AU196" s="275"/>
      <c r="AV196" s="275"/>
      <c r="AW196" s="275"/>
      <c r="AX196" s="275"/>
      <c r="AY196" s="275"/>
      <c r="AZ196" s="275"/>
      <c r="BA196" s="275"/>
      <c r="BB196" s="275"/>
      <c r="BC196" s="275"/>
      <c r="BD196" s="275"/>
      <c r="BE196" s="275"/>
      <c r="BF196" s="275"/>
      <c r="BG196" s="275"/>
      <c r="BH196" s="275"/>
      <c r="BI196" s="275"/>
      <c r="BJ196" s="275"/>
      <c r="BK196" s="275"/>
      <c r="BL196" s="275"/>
      <c r="BM196" s="275"/>
      <c r="BN196" s="275"/>
      <c r="BO196" s="275"/>
      <c r="BP196" s="275"/>
      <c r="BQ196" s="275"/>
      <c r="BR196" s="275"/>
      <c r="BS196" s="275"/>
      <c r="BT196" s="275"/>
      <c r="BU196" s="275"/>
      <c r="BV196" s="275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</row>
    <row r="197" spans="2:113">
      <c r="B197" s="10" t="s">
        <v>101</v>
      </c>
      <c r="AA197" s="275">
        <f t="shared" ref="AA197:AX197" si="581">AA172+AA191+AA193</f>
        <v>55448</v>
      </c>
      <c r="AB197" s="275">
        <f t="shared" si="581"/>
        <v>684</v>
      </c>
      <c r="AC197" s="275">
        <f t="shared" si="581"/>
        <v>972.0159090909001</v>
      </c>
      <c r="AD197" s="275">
        <f t="shared" si="581"/>
        <v>-32363.536363636376</v>
      </c>
      <c r="AE197" s="275">
        <f t="shared" si="581"/>
        <v>-24372</v>
      </c>
      <c r="AF197" s="275">
        <f t="shared" si="581"/>
        <v>-18692</v>
      </c>
      <c r="AG197" s="275">
        <f t="shared" si="581"/>
        <v>-61806</v>
      </c>
      <c r="AH197" s="275">
        <f t="shared" si="581"/>
        <v>-113198</v>
      </c>
      <c r="AI197" s="275">
        <f t="shared" si="581"/>
        <v>1258</v>
      </c>
      <c r="AJ197" s="275">
        <f t="shared" si="581"/>
        <v>-19419</v>
      </c>
      <c r="AK197" s="275">
        <f t="shared" si="581"/>
        <v>-39682</v>
      </c>
      <c r="AL197" s="275">
        <f t="shared" si="581"/>
        <v>-92580</v>
      </c>
      <c r="AM197" s="275">
        <f t="shared" si="581"/>
        <v>38157</v>
      </c>
      <c r="AN197" s="275">
        <f t="shared" si="581"/>
        <v>1397</v>
      </c>
      <c r="AO197" s="275">
        <f t="shared" si="581"/>
        <v>-11438</v>
      </c>
      <c r="AP197" s="275">
        <f t="shared" si="581"/>
        <v>-52572</v>
      </c>
      <c r="AQ197" s="275">
        <f t="shared" si="581"/>
        <v>11271</v>
      </c>
      <c r="AR197" s="275">
        <f t="shared" si="581"/>
        <v>-5590</v>
      </c>
      <c r="AS197" s="275">
        <f t="shared" si="581"/>
        <v>-4042</v>
      </c>
      <c r="AT197" s="275">
        <f t="shared" si="581"/>
        <v>-22362</v>
      </c>
      <c r="AU197" s="275">
        <f t="shared" si="581"/>
        <v>-7708</v>
      </c>
      <c r="AV197" s="275">
        <f t="shared" si="581"/>
        <v>-52097</v>
      </c>
      <c r="AW197" s="275">
        <f t="shared" si="581"/>
        <v>-34587</v>
      </c>
      <c r="AX197" s="275">
        <f t="shared" si="581"/>
        <v>-25236</v>
      </c>
      <c r="AY197" s="275"/>
      <c r="AZ197" s="275"/>
      <c r="BA197" s="275"/>
      <c r="BB197" s="275"/>
      <c r="BC197" s="275"/>
      <c r="BD197" s="275"/>
      <c r="BE197" s="275"/>
      <c r="BF197" s="275"/>
      <c r="BG197" s="275"/>
      <c r="BH197" s="275"/>
      <c r="BI197" s="275"/>
      <c r="BJ197" s="275"/>
      <c r="BK197" s="275"/>
      <c r="BL197" s="275"/>
      <c r="BM197" s="275"/>
      <c r="BN197" s="275"/>
      <c r="BO197" s="275"/>
      <c r="BP197" s="275"/>
      <c r="BQ197" s="275"/>
      <c r="BR197" s="275"/>
      <c r="BS197" s="275"/>
      <c r="BT197" s="275"/>
      <c r="BU197" s="275"/>
      <c r="BV197" s="275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</row>
    <row r="198" spans="2:113">
      <c r="B198" s="10" t="s">
        <v>889</v>
      </c>
      <c r="AA198" s="275">
        <v>0</v>
      </c>
      <c r="AB198" s="275">
        <f>-225*'Master old'!N329</f>
        <v>-53212.5</v>
      </c>
      <c r="AC198" s="275">
        <v>0</v>
      </c>
      <c r="AD198" s="275">
        <f>-150*'Master old'!P329</f>
        <v>-35475</v>
      </c>
      <c r="AE198" s="275">
        <v>0</v>
      </c>
      <c r="AF198" s="275">
        <f>-150*'Master old'!P329</f>
        <v>-35475</v>
      </c>
      <c r="AG198" s="275">
        <v>0</v>
      </c>
      <c r="AH198" s="275"/>
      <c r="AI198" s="275"/>
      <c r="AJ198" s="275">
        <f>-'Master old'!Q309</f>
        <v>-8041</v>
      </c>
      <c r="AK198" s="275"/>
      <c r="AL198" s="275"/>
      <c r="AM198" s="275"/>
      <c r="AN198" s="275"/>
      <c r="AO198" s="275"/>
      <c r="AP198" s="275"/>
      <c r="AQ198" s="275"/>
      <c r="AR198" s="275"/>
      <c r="AS198" s="275"/>
      <c r="AT198" s="275"/>
      <c r="AU198" s="275"/>
      <c r="AV198" s="275"/>
      <c r="AW198" s="275"/>
      <c r="AX198" s="275"/>
      <c r="AY198" s="275"/>
      <c r="AZ198" s="275"/>
      <c r="BA198" s="275"/>
      <c r="BB198" s="275"/>
      <c r="BC198" s="275"/>
      <c r="BD198" s="275"/>
      <c r="BE198" s="275"/>
      <c r="BF198" s="275"/>
      <c r="BG198" s="275"/>
      <c r="BH198" s="275"/>
      <c r="BI198" s="275"/>
      <c r="BJ198" s="275"/>
      <c r="BK198" s="275"/>
      <c r="BL198" s="275"/>
      <c r="BM198" s="275"/>
      <c r="BN198" s="275"/>
      <c r="BO198" s="275"/>
      <c r="BP198" s="275"/>
      <c r="BQ198" s="275"/>
      <c r="BR198" s="275"/>
      <c r="BS198" s="275"/>
      <c r="BT198" s="275"/>
      <c r="BU198" s="275"/>
      <c r="BV198" s="275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</row>
    <row r="199" spans="2:113">
      <c r="B199" s="10" t="s">
        <v>1717</v>
      </c>
      <c r="AA199" s="275"/>
      <c r="AB199" s="275"/>
      <c r="AC199" s="275"/>
      <c r="AD199" s="275"/>
      <c r="AE199" s="275"/>
      <c r="AF199" s="275"/>
      <c r="AG199" s="275"/>
      <c r="AH199" s="275"/>
      <c r="AI199" s="275"/>
      <c r="AJ199" s="275"/>
      <c r="AK199" s="275"/>
      <c r="AL199" s="275"/>
      <c r="AM199" s="275"/>
      <c r="AN199" s="275"/>
      <c r="AO199" s="275"/>
      <c r="AP199" s="275"/>
      <c r="AQ199" s="275"/>
      <c r="AR199" s="275"/>
      <c r="AS199" s="275"/>
      <c r="AT199" s="275"/>
      <c r="AU199" s="275"/>
      <c r="AV199" s="275"/>
      <c r="AW199" s="275"/>
      <c r="AX199" s="275"/>
      <c r="AY199" s="275"/>
      <c r="AZ199" s="275"/>
      <c r="BA199" s="275"/>
      <c r="BB199" s="275"/>
      <c r="BC199" s="275"/>
      <c r="BD199" s="275"/>
      <c r="BE199" s="275"/>
      <c r="BF199" s="275"/>
      <c r="BG199" s="275"/>
      <c r="BH199" s="275"/>
      <c r="BI199" s="275"/>
      <c r="BJ199" s="275"/>
      <c r="BK199" s="275"/>
      <c r="BL199" s="275"/>
      <c r="BM199" s="275"/>
      <c r="BN199" s="275"/>
      <c r="BO199" s="275"/>
      <c r="BP199" s="275"/>
      <c r="BQ199" s="275"/>
      <c r="BR199" s="275"/>
      <c r="BS199" s="275"/>
      <c r="BT199" s="275"/>
      <c r="BU199" s="275"/>
      <c r="BV199" s="275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</row>
    <row r="200" spans="2:113">
      <c r="B200" s="98" t="s">
        <v>20</v>
      </c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337">
        <f t="shared" ref="AA200:AF200" si="582">-(AA202+SUM(AA196:AA198))</f>
        <v>-59295</v>
      </c>
      <c r="AB200" s="337">
        <f t="shared" si="582"/>
        <v>-8786.5</v>
      </c>
      <c r="AC200" s="337">
        <f t="shared" si="582"/>
        <v>-28505.604545454582</v>
      </c>
      <c r="AD200" s="337">
        <f t="shared" si="582"/>
        <v>2491.5363636363763</v>
      </c>
      <c r="AE200" s="337">
        <f t="shared" si="582"/>
        <v>-25602</v>
      </c>
      <c r="AF200" s="337">
        <f t="shared" si="582"/>
        <v>38451</v>
      </c>
      <c r="AG200" s="337"/>
      <c r="AH200" s="337"/>
      <c r="AI200" s="337">
        <f t="shared" ref="AI200:AO200" si="583">-(AI202+SUM(AI196:AI198))</f>
        <v>-115530</v>
      </c>
      <c r="AJ200" s="337">
        <f t="shared" si="583"/>
        <v>-101585</v>
      </c>
      <c r="AK200" s="337">
        <f t="shared" si="583"/>
        <v>56060</v>
      </c>
      <c r="AL200" s="337">
        <f t="shared" si="583"/>
        <v>5974</v>
      </c>
      <c r="AM200" s="337">
        <f t="shared" si="583"/>
        <v>-35284</v>
      </c>
      <c r="AN200" s="337">
        <f t="shared" si="583"/>
        <v>-45504</v>
      </c>
      <c r="AO200" s="337">
        <f t="shared" si="583"/>
        <v>-137346</v>
      </c>
      <c r="AP200" s="337">
        <f t="shared" ref="AP200:AX200" si="584">-(AP202+SUM(AP196:AP198))</f>
        <v>-26747</v>
      </c>
      <c r="AQ200" s="337">
        <f t="shared" si="584"/>
        <v>-63979</v>
      </c>
      <c r="AR200" s="337">
        <f t="shared" si="584"/>
        <v>-42314</v>
      </c>
      <c r="AS200" s="337">
        <f t="shared" si="584"/>
        <v>27668</v>
      </c>
      <c r="AT200" s="337">
        <f t="shared" si="584"/>
        <v>30287</v>
      </c>
      <c r="AU200" s="337">
        <f t="shared" si="584"/>
        <v>-126260</v>
      </c>
      <c r="AV200" s="337">
        <f t="shared" si="584"/>
        <v>17061</v>
      </c>
      <c r="AW200" s="337">
        <f t="shared" si="584"/>
        <v>-15132</v>
      </c>
      <c r="AX200" s="337">
        <f t="shared" si="584"/>
        <v>49065</v>
      </c>
      <c r="AY200" s="337"/>
      <c r="AZ200" s="337"/>
      <c r="BA200" s="337"/>
      <c r="BB200" s="275"/>
      <c r="BC200" s="275"/>
      <c r="BD200" s="275"/>
      <c r="BE200" s="275"/>
      <c r="BF200" s="275"/>
      <c r="BG200" s="275"/>
      <c r="BH200" s="275"/>
      <c r="BI200" s="275"/>
      <c r="BJ200" s="275"/>
      <c r="BK200" s="275"/>
      <c r="BL200" s="275"/>
      <c r="BM200" s="275"/>
      <c r="BN200" s="275"/>
      <c r="BO200" s="275"/>
      <c r="BP200" s="275"/>
      <c r="BQ200" s="275"/>
      <c r="BR200" s="275"/>
      <c r="BS200" s="275"/>
      <c r="BT200" s="275"/>
      <c r="BU200" s="275"/>
      <c r="BV200" s="275"/>
      <c r="CH200" s="8"/>
      <c r="CI200" s="8"/>
      <c r="CJ200" s="8"/>
      <c r="CK200" s="8"/>
      <c r="CL200" s="8"/>
      <c r="CM200" s="8"/>
      <c r="CN200" s="8"/>
      <c r="CO200" s="8"/>
      <c r="CP200" s="8"/>
      <c r="CQ200" s="8"/>
    </row>
    <row r="201" spans="2:113">
      <c r="B201" s="10" t="s">
        <v>181</v>
      </c>
      <c r="X201" s="275">
        <f>407737+28047-53877</f>
        <v>381907</v>
      </c>
      <c r="Y201" s="275">
        <f>407737+28047-53877</f>
        <v>381907</v>
      </c>
      <c r="Z201" s="275">
        <f>407737+28047-53877</f>
        <v>381907</v>
      </c>
      <c r="AA201" s="275">
        <f>403552+31272-49070</f>
        <v>385754</v>
      </c>
      <c r="AB201" s="275">
        <f>159991+306181-19103</f>
        <v>447069</v>
      </c>
      <c r="AC201" s="275">
        <f>505498+260060-29919</f>
        <v>735639</v>
      </c>
      <c r="AD201" s="275">
        <v>800986</v>
      </c>
      <c r="AE201" s="275">
        <v>857812</v>
      </c>
      <c r="AF201" s="275">
        <v>873528</v>
      </c>
      <c r="AG201" s="275">
        <v>942353</v>
      </c>
      <c r="AH201" s="275">
        <v>954328</v>
      </c>
      <c r="AI201" s="275">
        <v>1068600</v>
      </c>
      <c r="AJ201" s="275">
        <v>1197645</v>
      </c>
      <c r="AK201" s="275">
        <v>1181267</v>
      </c>
      <c r="AL201" s="275">
        <v>1267873</v>
      </c>
      <c r="AM201" s="275">
        <v>1265000</v>
      </c>
      <c r="AN201" s="275">
        <v>1309107</v>
      </c>
      <c r="AO201" s="275">
        <v>1294791</v>
      </c>
      <c r="AP201" s="275">
        <v>1374110</v>
      </c>
      <c r="AQ201" s="275">
        <v>1426818</v>
      </c>
      <c r="AR201" s="275">
        <v>1474722</v>
      </c>
      <c r="AS201" s="275">
        <v>1451096</v>
      </c>
      <c r="AT201" s="275">
        <v>1443171</v>
      </c>
      <c r="AU201" s="275">
        <v>1577139</v>
      </c>
      <c r="AV201" s="275">
        <v>1612175</v>
      </c>
      <c r="AW201" s="275">
        <v>1661894</v>
      </c>
      <c r="AX201" s="275">
        <v>1638065</v>
      </c>
      <c r="AY201" s="275">
        <v>1672290</v>
      </c>
      <c r="AZ201" s="275">
        <v>1729788</v>
      </c>
      <c r="BA201" s="275"/>
      <c r="BB201" s="275"/>
      <c r="BC201" s="275"/>
      <c r="BD201" s="275"/>
      <c r="BE201" s="275"/>
      <c r="BF201" s="275"/>
      <c r="BG201" s="275"/>
      <c r="BH201" s="275"/>
      <c r="BI201" s="275"/>
      <c r="BJ201" s="275"/>
      <c r="BK201" s="275"/>
      <c r="BL201" s="275"/>
      <c r="BM201" s="275"/>
      <c r="BN201" s="275"/>
      <c r="BO201" s="275"/>
      <c r="BP201" s="275"/>
      <c r="BQ201" s="275"/>
      <c r="BR201" s="275"/>
      <c r="BS201" s="275"/>
      <c r="BT201" s="275"/>
      <c r="BU201" s="275"/>
      <c r="BV201" s="275"/>
      <c r="CH201" s="8"/>
      <c r="CI201" s="8"/>
      <c r="CJ201" s="8"/>
      <c r="CK201" s="8"/>
      <c r="CL201" s="8"/>
      <c r="CM201" s="8"/>
      <c r="CN201" s="8"/>
      <c r="CO201" s="8"/>
      <c r="CP201" s="8"/>
      <c r="CQ201" s="8"/>
    </row>
    <row r="202" spans="2:113">
      <c r="B202" s="10" t="s">
        <v>914</v>
      </c>
      <c r="X202" s="275"/>
      <c r="Y202" s="275"/>
      <c r="Z202" s="275"/>
      <c r="AA202" s="275">
        <f t="shared" ref="AA202:AN202" si="585">AA201-Z201</f>
        <v>3847</v>
      </c>
      <c r="AB202" s="275">
        <f t="shared" si="585"/>
        <v>61315</v>
      </c>
      <c r="AC202" s="275">
        <f t="shared" si="585"/>
        <v>288570</v>
      </c>
      <c r="AD202" s="275">
        <f t="shared" si="585"/>
        <v>65347</v>
      </c>
      <c r="AE202" s="275">
        <f t="shared" si="585"/>
        <v>56826</v>
      </c>
      <c r="AF202" s="275">
        <f t="shared" si="585"/>
        <v>15716</v>
      </c>
      <c r="AG202" s="275">
        <f t="shared" si="585"/>
        <v>68825</v>
      </c>
      <c r="AH202" s="275">
        <f t="shared" si="585"/>
        <v>11975</v>
      </c>
      <c r="AI202" s="275">
        <f t="shared" si="585"/>
        <v>114272</v>
      </c>
      <c r="AJ202" s="275">
        <f t="shared" si="585"/>
        <v>129045</v>
      </c>
      <c r="AK202" s="275">
        <f t="shared" si="585"/>
        <v>-16378</v>
      </c>
      <c r="AL202" s="275">
        <f t="shared" si="585"/>
        <v>86606</v>
      </c>
      <c r="AM202" s="275">
        <f t="shared" si="585"/>
        <v>-2873</v>
      </c>
      <c r="AN202" s="275">
        <f t="shared" si="585"/>
        <v>44107</v>
      </c>
      <c r="AO202" s="275">
        <f t="shared" ref="AO202:AZ202" si="586">AO201-AN201</f>
        <v>-14316</v>
      </c>
      <c r="AP202" s="275">
        <f t="shared" si="586"/>
        <v>79319</v>
      </c>
      <c r="AQ202" s="275">
        <f t="shared" si="586"/>
        <v>52708</v>
      </c>
      <c r="AR202" s="275">
        <f t="shared" si="586"/>
        <v>47904</v>
      </c>
      <c r="AS202" s="275">
        <f t="shared" si="586"/>
        <v>-23626</v>
      </c>
      <c r="AT202" s="275">
        <f t="shared" si="586"/>
        <v>-7925</v>
      </c>
      <c r="AU202" s="275">
        <f t="shared" si="586"/>
        <v>133968</v>
      </c>
      <c r="AV202" s="275">
        <f t="shared" si="586"/>
        <v>35036</v>
      </c>
      <c r="AW202" s="275">
        <f t="shared" si="586"/>
        <v>49719</v>
      </c>
      <c r="AX202" s="275">
        <f t="shared" si="586"/>
        <v>-23829</v>
      </c>
      <c r="AY202" s="275">
        <f t="shared" si="586"/>
        <v>34225</v>
      </c>
      <c r="AZ202" s="275">
        <f t="shared" si="586"/>
        <v>57498</v>
      </c>
      <c r="BA202" s="275"/>
      <c r="BB202" s="275"/>
      <c r="BC202" s="275"/>
      <c r="BD202" s="275"/>
      <c r="BE202" s="275"/>
      <c r="BF202" s="275"/>
      <c r="BG202" s="275"/>
      <c r="BH202" s="275"/>
      <c r="BI202" s="275"/>
      <c r="BJ202" s="275"/>
      <c r="BK202" s="275"/>
      <c r="BL202" s="275"/>
      <c r="BM202" s="275"/>
      <c r="BN202" s="275"/>
      <c r="BO202" s="275"/>
      <c r="BP202" s="275"/>
      <c r="BQ202" s="275"/>
      <c r="BR202" s="275"/>
      <c r="BS202" s="275"/>
      <c r="BT202" s="275"/>
      <c r="BU202" s="275"/>
      <c r="BV202" s="275"/>
      <c r="CH202" s="8"/>
      <c r="CI202" s="8"/>
      <c r="CJ202" s="8"/>
      <c r="CK202" s="8"/>
      <c r="CL202" s="8"/>
      <c r="CM202" s="8"/>
      <c r="CN202" s="8"/>
      <c r="CO202" s="8"/>
    </row>
    <row r="203" spans="2:113">
      <c r="B203" s="10"/>
      <c r="X203" s="275"/>
      <c r="Y203" s="275"/>
      <c r="Z203" s="275"/>
      <c r="AA203" s="275"/>
      <c r="AB203" s="275"/>
      <c r="AC203" s="275"/>
      <c r="AD203" s="275"/>
      <c r="AE203" s="275"/>
      <c r="AF203" s="275"/>
      <c r="AG203" s="275"/>
      <c r="AH203" s="275"/>
      <c r="AI203" s="275"/>
      <c r="AJ203" s="275"/>
      <c r="AK203" s="275"/>
      <c r="AL203" s="275"/>
      <c r="AM203" s="275"/>
      <c r="AN203" s="275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  <c r="BJ203" s="89"/>
      <c r="BK203" s="89"/>
      <c r="BL203" s="89"/>
      <c r="BM203" s="89"/>
      <c r="BN203" s="275"/>
      <c r="BO203" s="275"/>
      <c r="BP203" s="275"/>
      <c r="BQ203" s="275"/>
      <c r="BR203" s="275"/>
      <c r="BS203" s="275"/>
      <c r="BT203" s="275"/>
      <c r="BU203" s="275"/>
      <c r="BV203" s="275"/>
      <c r="CH203" s="8"/>
      <c r="CI203" s="8"/>
      <c r="CJ203" s="8"/>
      <c r="CK203" s="8"/>
      <c r="CL203" s="8"/>
      <c r="CM203" s="8"/>
      <c r="CN203" s="8"/>
      <c r="CO203" s="8"/>
    </row>
    <row r="204" spans="2:113">
      <c r="B204" s="10" t="s">
        <v>120</v>
      </c>
      <c r="X204" s="275"/>
      <c r="Y204" s="275"/>
      <c r="Z204" s="275"/>
      <c r="AA204" s="275"/>
      <c r="AB204" s="275"/>
      <c r="AC204" s="275"/>
      <c r="AD204" s="275"/>
      <c r="AE204" s="275"/>
      <c r="AF204" s="275"/>
      <c r="AG204" s="275"/>
      <c r="AH204" s="275"/>
      <c r="AI204" s="275"/>
      <c r="AJ204" s="275"/>
      <c r="AK204" s="275"/>
      <c r="AL204" s="275"/>
      <c r="AM204" s="275"/>
      <c r="AN204" s="275"/>
      <c r="AO204" s="89"/>
      <c r="AP204" s="89"/>
      <c r="AQ204" s="275">
        <v>1261872</v>
      </c>
      <c r="AR204" s="275"/>
      <c r="AS204" s="275"/>
      <c r="AT204" s="89"/>
      <c r="AU204" s="89"/>
      <c r="AV204" s="89"/>
      <c r="AW204" s="89"/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  <c r="BJ204" s="89"/>
      <c r="BK204" s="89"/>
      <c r="BL204" s="89"/>
      <c r="BM204" s="89"/>
      <c r="BN204" s="275"/>
      <c r="BO204" s="275"/>
      <c r="BP204" s="275"/>
      <c r="BQ204" s="275"/>
      <c r="BR204" s="275"/>
      <c r="BS204" s="275"/>
      <c r="BT204" s="275"/>
      <c r="BU204" s="275"/>
      <c r="BV204" s="275"/>
      <c r="CH204" s="8"/>
      <c r="CI204" s="8"/>
      <c r="CJ204" s="8"/>
      <c r="CK204" s="8"/>
      <c r="CL204" s="8"/>
      <c r="CM204" s="8"/>
      <c r="CN204" s="8"/>
      <c r="CO204" s="8"/>
    </row>
    <row r="205" spans="2:113">
      <c r="B205" s="10"/>
      <c r="X205" s="275"/>
      <c r="Y205" s="275"/>
      <c r="Z205" s="275"/>
      <c r="AA205" s="275"/>
      <c r="AB205" s="275"/>
      <c r="AC205" s="275"/>
      <c r="AD205" s="275"/>
      <c r="AE205" s="275"/>
      <c r="AF205" s="275"/>
      <c r="AG205" s="275"/>
      <c r="AH205" s="275"/>
      <c r="AI205" s="275"/>
      <c r="AJ205" s="275"/>
      <c r="AK205" s="275"/>
      <c r="AL205" s="275"/>
      <c r="AM205" s="275"/>
      <c r="AN205" s="275"/>
      <c r="AO205" s="89"/>
      <c r="AP205" s="89"/>
      <c r="AQ205" s="336"/>
      <c r="AR205" s="336"/>
      <c r="AS205" s="336"/>
      <c r="AT205" s="89"/>
      <c r="AU205" s="89"/>
      <c r="AV205" s="89"/>
      <c r="AW205" s="89"/>
      <c r="AX205" s="89"/>
      <c r="AY205" s="89"/>
      <c r="AZ205" s="89"/>
      <c r="BA205" s="89"/>
      <c r="BB205" s="89"/>
      <c r="BC205" s="89"/>
      <c r="BD205" s="89"/>
      <c r="BE205" s="89"/>
      <c r="BF205" s="89"/>
      <c r="BG205" s="89"/>
      <c r="BH205" s="89"/>
      <c r="BI205" s="89"/>
      <c r="BJ205" s="89"/>
      <c r="BK205" s="89"/>
      <c r="BL205" s="89"/>
      <c r="BM205" s="89"/>
      <c r="BN205" s="275"/>
      <c r="BO205" s="275"/>
      <c r="BP205" s="275"/>
      <c r="BQ205" s="275"/>
      <c r="BR205" s="275"/>
      <c r="BS205" s="275"/>
      <c r="BT205" s="275"/>
      <c r="BU205" s="275"/>
      <c r="BV205" s="275"/>
      <c r="CH205" s="8"/>
      <c r="CI205" s="8"/>
      <c r="CJ205" s="8"/>
      <c r="CK205" s="8"/>
      <c r="CL205" s="8"/>
      <c r="CM205" s="8"/>
      <c r="CN205" s="8"/>
      <c r="CO205" s="8"/>
    </row>
    <row r="206" spans="2:113">
      <c r="B206" s="10" t="s">
        <v>490</v>
      </c>
      <c r="X206" s="275"/>
      <c r="Y206" s="275"/>
      <c r="Z206" s="275"/>
      <c r="AA206" s="275"/>
      <c r="AB206" s="275"/>
      <c r="AC206" s="275"/>
      <c r="AD206" s="275"/>
      <c r="AE206" s="275"/>
      <c r="AF206" s="275"/>
      <c r="AG206" s="275">
        <v>1435640</v>
      </c>
      <c r="AH206" s="275"/>
      <c r="AI206" s="275">
        <v>1493701</v>
      </c>
      <c r="AJ206" s="275"/>
      <c r="AK206" s="275">
        <v>1660927</v>
      </c>
      <c r="AL206" s="275">
        <v>1673391</v>
      </c>
      <c r="AM206" s="275">
        <v>1593745</v>
      </c>
      <c r="AN206" s="275"/>
      <c r="AO206" s="275"/>
      <c r="AP206" s="275"/>
      <c r="AQ206" s="275"/>
      <c r="AR206" s="275">
        <v>1683791</v>
      </c>
      <c r="AS206" s="275">
        <v>1634327</v>
      </c>
      <c r="AT206" s="275">
        <v>1584677</v>
      </c>
      <c r="AU206" s="275"/>
      <c r="AV206" s="275"/>
      <c r="AW206" s="275"/>
      <c r="AX206" s="275"/>
      <c r="AY206" s="275"/>
      <c r="AZ206" s="275"/>
      <c r="BA206" s="275"/>
      <c r="BB206" s="275"/>
      <c r="BC206" s="275"/>
      <c r="BD206" s="275"/>
      <c r="BE206" s="275"/>
      <c r="BF206" s="275"/>
      <c r="BG206" s="275"/>
      <c r="BH206" s="275"/>
      <c r="BI206" s="275"/>
      <c r="BJ206" s="275"/>
      <c r="BK206" s="275"/>
      <c r="BL206" s="275"/>
      <c r="BM206" s="275"/>
      <c r="BN206" s="275"/>
      <c r="BO206" s="275"/>
      <c r="BP206" s="275"/>
      <c r="BQ206" s="275"/>
      <c r="BR206" s="275"/>
      <c r="BS206" s="275"/>
      <c r="BT206" s="275"/>
      <c r="BU206" s="275"/>
      <c r="BV206" s="275"/>
      <c r="CH206" s="8"/>
      <c r="CI206" s="8"/>
      <c r="CJ206" s="8"/>
      <c r="CK206" s="8"/>
      <c r="CL206" s="8"/>
      <c r="CM206" s="8"/>
      <c r="CN206" s="8"/>
      <c r="CO206" s="8"/>
    </row>
    <row r="207" spans="2:113">
      <c r="B207" s="10" t="s">
        <v>1709</v>
      </c>
      <c r="X207" s="275"/>
      <c r="Y207" s="275"/>
      <c r="Z207" s="275"/>
      <c r="AA207" s="275"/>
      <c r="AB207" s="275"/>
      <c r="AC207" s="275"/>
      <c r="AD207" s="275"/>
      <c r="AE207" s="275"/>
      <c r="AF207" s="275"/>
      <c r="AG207" s="275">
        <f>AG206-AG201</f>
        <v>493287</v>
      </c>
      <c r="AH207" s="275"/>
      <c r="AI207" s="275">
        <f>AI206-AI201</f>
        <v>425101</v>
      </c>
      <c r="AJ207" s="275"/>
      <c r="AK207" s="275">
        <f>AK206-AK201</f>
        <v>479660</v>
      </c>
      <c r="AL207" s="275">
        <f>AL206-AL201</f>
        <v>405518</v>
      </c>
      <c r="AM207" s="275">
        <f>AM206-AM201</f>
        <v>328745</v>
      </c>
      <c r="AN207" s="275"/>
      <c r="AO207" s="275"/>
      <c r="AP207" s="275"/>
      <c r="AQ207" s="275"/>
      <c r="AR207" s="275">
        <f>AR206-AR201</f>
        <v>209069</v>
      </c>
      <c r="AS207" s="275">
        <f>AS206-AS201</f>
        <v>183231</v>
      </c>
      <c r="AT207" s="275">
        <f>AT206-AT201</f>
        <v>141506</v>
      </c>
      <c r="AU207" s="275"/>
      <c r="AV207" s="275"/>
      <c r="AW207" s="275"/>
      <c r="AX207" s="275"/>
      <c r="AY207" s="275"/>
      <c r="AZ207" s="275"/>
      <c r="BA207" s="275"/>
      <c r="BB207" s="275"/>
      <c r="BC207" s="275"/>
      <c r="BD207" s="275"/>
      <c r="BE207" s="275"/>
      <c r="BF207" s="275"/>
      <c r="BG207" s="275"/>
      <c r="BH207" s="275"/>
      <c r="BI207" s="275"/>
      <c r="BJ207" s="275"/>
      <c r="BK207" s="275"/>
      <c r="BL207" s="275"/>
      <c r="BM207" s="275"/>
      <c r="BN207" s="275"/>
      <c r="BO207" s="275"/>
      <c r="BP207" s="275"/>
      <c r="BQ207" s="275"/>
      <c r="BR207" s="275"/>
      <c r="BS207" s="275"/>
      <c r="BT207" s="275"/>
      <c r="BU207" s="275"/>
      <c r="BV207" s="275"/>
      <c r="CH207" s="8"/>
      <c r="CI207" s="8"/>
      <c r="CJ207" s="8"/>
      <c r="CK207" s="8"/>
      <c r="CL207" s="8"/>
      <c r="CM207" s="8"/>
      <c r="CN207" s="8"/>
      <c r="CO207" s="8"/>
    </row>
    <row r="208" spans="2:113">
      <c r="B208" s="10"/>
      <c r="X208" s="275"/>
      <c r="Y208" s="275"/>
      <c r="Z208" s="275"/>
      <c r="AA208" s="275"/>
      <c r="AB208" s="275"/>
      <c r="AC208" s="275"/>
      <c r="AD208" s="275"/>
      <c r="AE208" s="275"/>
      <c r="AF208" s="275"/>
      <c r="AG208" s="275"/>
      <c r="AH208" s="275"/>
      <c r="AI208" s="275"/>
      <c r="AJ208" s="275"/>
      <c r="AK208" s="275"/>
      <c r="AL208" s="275"/>
      <c r="AM208" s="275"/>
      <c r="AN208" s="275"/>
      <c r="AO208" s="275"/>
      <c r="AP208" s="275"/>
      <c r="AQ208" s="275"/>
      <c r="AR208" s="275"/>
      <c r="AS208" s="275"/>
      <c r="AT208" s="275"/>
      <c r="AU208" s="275"/>
      <c r="AV208" s="275"/>
      <c r="AW208" s="275"/>
      <c r="AX208" s="275"/>
      <c r="AY208" s="275"/>
      <c r="AZ208" s="275"/>
      <c r="BA208" s="275"/>
      <c r="BB208" s="275"/>
      <c r="BC208" s="275"/>
      <c r="BD208" s="275"/>
      <c r="BE208" s="275"/>
      <c r="BF208" s="275"/>
      <c r="BG208" s="275"/>
      <c r="BH208" s="275"/>
      <c r="BI208" s="275"/>
      <c r="BJ208" s="275"/>
      <c r="BK208" s="275"/>
      <c r="BL208" s="275"/>
      <c r="BM208" s="275"/>
      <c r="BN208" s="275"/>
      <c r="BO208" s="275"/>
      <c r="BP208" s="275"/>
      <c r="BQ208" s="275"/>
      <c r="BR208" s="275"/>
      <c r="BS208" s="275"/>
      <c r="BT208" s="275"/>
      <c r="BU208" s="275"/>
      <c r="BV208" s="275"/>
      <c r="CH208" s="8"/>
      <c r="CI208" s="8"/>
      <c r="CJ208" s="8"/>
      <c r="CK208" s="8"/>
      <c r="CL208" s="8"/>
      <c r="CM208" s="8"/>
      <c r="CN208" s="8"/>
      <c r="CO208" s="8"/>
    </row>
    <row r="209" spans="2:93">
      <c r="B209" s="10"/>
      <c r="X209" s="275"/>
      <c r="Y209" s="275"/>
      <c r="Z209" s="275"/>
      <c r="AA209" s="405" t="str">
        <f t="shared" ref="AA209:AV209" si="587">AA3</f>
        <v>Q1 13</v>
      </c>
      <c r="AB209" s="405" t="str">
        <f t="shared" si="587"/>
        <v>Q2 13</v>
      </c>
      <c r="AC209" s="405" t="str">
        <f t="shared" si="587"/>
        <v>Q3 13</v>
      </c>
      <c r="AD209" s="405" t="str">
        <f t="shared" si="587"/>
        <v>Q4 13</v>
      </c>
      <c r="AE209" s="405" t="str">
        <f t="shared" si="587"/>
        <v>Q1 14</v>
      </c>
      <c r="AF209" s="405" t="str">
        <f t="shared" si="587"/>
        <v>Q2 14</v>
      </c>
      <c r="AG209" s="405" t="str">
        <f t="shared" si="587"/>
        <v>Q3 14</v>
      </c>
      <c r="AH209" s="405" t="str">
        <f t="shared" si="587"/>
        <v>Q4 14</v>
      </c>
      <c r="AI209" s="405" t="str">
        <f t="shared" si="587"/>
        <v>Q1 15</v>
      </c>
      <c r="AJ209" s="405" t="str">
        <f t="shared" si="587"/>
        <v>Q2 15</v>
      </c>
      <c r="AK209" s="405" t="str">
        <f t="shared" si="587"/>
        <v>Q3 15</v>
      </c>
      <c r="AL209" s="405" t="str">
        <f t="shared" si="587"/>
        <v>Q4 15</v>
      </c>
      <c r="AM209" s="405" t="str">
        <f t="shared" si="587"/>
        <v>Q1 16</v>
      </c>
      <c r="AN209" s="405" t="str">
        <f t="shared" si="587"/>
        <v>Q2 16</v>
      </c>
      <c r="AO209" s="405" t="str">
        <f t="shared" si="587"/>
        <v>Q3 16</v>
      </c>
      <c r="AP209" s="405" t="str">
        <f t="shared" si="587"/>
        <v>Q4 16</v>
      </c>
      <c r="AQ209" s="405" t="str">
        <f t="shared" si="587"/>
        <v>Q1 17</v>
      </c>
      <c r="AR209" s="405" t="str">
        <f t="shared" si="587"/>
        <v>Q2 17</v>
      </c>
      <c r="AS209" s="405" t="str">
        <f t="shared" si="587"/>
        <v>Q3 17</v>
      </c>
      <c r="AT209" s="405" t="str">
        <f t="shared" si="587"/>
        <v>Q4 17</v>
      </c>
      <c r="AU209" s="405" t="str">
        <f t="shared" si="587"/>
        <v>Q1 18</v>
      </c>
      <c r="AV209" s="405" t="str">
        <f t="shared" si="587"/>
        <v>Q2 18</v>
      </c>
      <c r="AW209" s="405" t="str">
        <f t="shared" ref="AW209:AX209" si="588">AW3</f>
        <v>Q3 18</v>
      </c>
      <c r="AX209" s="405" t="str">
        <f t="shared" si="588"/>
        <v>Q4 18</v>
      </c>
      <c r="AY209" s="405" t="str">
        <f t="shared" ref="AY209:BA209" si="589">AY3</f>
        <v>Q1 19</v>
      </c>
      <c r="AZ209" s="405" t="str">
        <f t="shared" si="589"/>
        <v>Q2 19</v>
      </c>
      <c r="BA209" s="405" t="str">
        <f t="shared" si="589"/>
        <v>Q3 19</v>
      </c>
      <c r="BB209" s="405"/>
      <c r="BC209" s="405"/>
      <c r="BD209" s="405"/>
      <c r="BE209" s="405"/>
      <c r="BF209" s="405"/>
      <c r="BG209" s="405"/>
      <c r="BH209" s="405"/>
      <c r="BI209" s="405"/>
      <c r="BJ209" s="405"/>
      <c r="BK209" s="405"/>
      <c r="BL209" s="405"/>
      <c r="BM209" s="405"/>
      <c r="BN209" s="275"/>
      <c r="BO209" s="275"/>
      <c r="BP209" s="275"/>
      <c r="BQ209" s="275"/>
      <c r="BR209" s="275"/>
      <c r="BS209" s="275"/>
      <c r="BT209" s="275"/>
      <c r="BU209" s="275"/>
      <c r="BV209" s="275"/>
      <c r="CH209" s="8"/>
      <c r="CI209" s="8"/>
      <c r="CJ209" s="8"/>
      <c r="CK209" s="8"/>
      <c r="CL209" s="8"/>
      <c r="CM209" s="8"/>
      <c r="CN209" s="8"/>
      <c r="CO209" s="8"/>
    </row>
    <row r="210" spans="2:93">
      <c r="B210" s="10" t="s">
        <v>1623</v>
      </c>
      <c r="Y210" s="275"/>
      <c r="Z210" s="336">
        <f t="shared" ref="Z210:AY210" si="590">Z201/SUM(W150:Z150)</f>
        <v>0.89476039416530384</v>
      </c>
      <c r="AA210" s="336">
        <f t="shared" si="590"/>
        <v>0.8757423584751457</v>
      </c>
      <c r="AB210" s="336">
        <f t="shared" si="590"/>
        <v>0.97026920272241124</v>
      </c>
      <c r="AC210" s="336">
        <f t="shared" si="590"/>
        <v>1.5610310407170687</v>
      </c>
      <c r="AD210" s="336">
        <f t="shared" si="590"/>
        <v>1.7339686278245132</v>
      </c>
      <c r="AE210" s="336">
        <f t="shared" si="590"/>
        <v>1.8844313613497068</v>
      </c>
      <c r="AF210" s="336">
        <f t="shared" si="590"/>
        <v>1.989985465712294</v>
      </c>
      <c r="AG210" s="336">
        <f t="shared" si="590"/>
        <v>2.2734034237850773</v>
      </c>
      <c r="AH210" s="336">
        <f t="shared" si="590"/>
        <v>2.6063853611907688</v>
      </c>
      <c r="AI210" s="336">
        <f t="shared" si="590"/>
        <v>3.0045380164313307</v>
      </c>
      <c r="AJ210" s="336">
        <f t="shared" si="590"/>
        <v>3.4210804449294159</v>
      </c>
      <c r="AK210" s="336">
        <f t="shared" si="590"/>
        <v>3.4280262688230394</v>
      </c>
      <c r="AL210" s="336">
        <f t="shared" si="590"/>
        <v>3.4756624431858678</v>
      </c>
      <c r="AM210" s="336">
        <f t="shared" si="590"/>
        <v>3.3973594594304255</v>
      </c>
      <c r="AN210" s="336">
        <f t="shared" si="590"/>
        <v>3.499930488346104</v>
      </c>
      <c r="AO210" s="336">
        <f t="shared" si="590"/>
        <v>3.2731788581713754</v>
      </c>
      <c r="AP210" s="336">
        <f t="shared" si="590"/>
        <v>3.3009193309327114</v>
      </c>
      <c r="AQ210" s="336">
        <f t="shared" si="590"/>
        <v>3.395382927636041</v>
      </c>
      <c r="AR210" s="336">
        <f t="shared" si="590"/>
        <v>3.5089202860963455</v>
      </c>
      <c r="AS210" s="336">
        <f t="shared" si="590"/>
        <v>3.4253368457827</v>
      </c>
      <c r="AT210" s="336">
        <f t="shared" si="590"/>
        <v>3.2791664678495716</v>
      </c>
      <c r="AU210" s="336">
        <f t="shared" si="590"/>
        <v>3.6981241353436349</v>
      </c>
      <c r="AV210" s="336">
        <f t="shared" si="590"/>
        <v>3.8196682082677835</v>
      </c>
      <c r="AW210" s="336">
        <f t="shared" si="590"/>
        <v>3.9841821237380821</v>
      </c>
      <c r="AX210" s="336">
        <f t="shared" si="590"/>
        <v>3.8369276751436447</v>
      </c>
      <c r="AY210" s="336">
        <f t="shared" si="590"/>
        <v>3.7523055175353961</v>
      </c>
      <c r="AZ210" s="336">
        <f>AZ201/SUM(AW150:AZ150)</f>
        <v>3.693295100553208</v>
      </c>
      <c r="BA210" s="336">
        <f>BA201/SUM(AX150:BA150)</f>
        <v>0</v>
      </c>
      <c r="BB210" s="336"/>
      <c r="BC210" s="336"/>
      <c r="BD210" s="336"/>
      <c r="BE210" s="336"/>
      <c r="BF210" s="336"/>
      <c r="BG210" s="336"/>
      <c r="BH210" s="336"/>
      <c r="BI210" s="336"/>
      <c r="BJ210" s="336"/>
      <c r="BK210" s="336"/>
      <c r="BL210" s="336"/>
      <c r="BM210" s="336"/>
      <c r="BN210" s="336"/>
      <c r="BO210" s="336"/>
      <c r="BP210" s="336"/>
      <c r="BQ210" s="336"/>
      <c r="BR210" s="336"/>
      <c r="BS210" s="336"/>
      <c r="BT210" s="336"/>
      <c r="BU210" s="336"/>
      <c r="BV210" s="336"/>
      <c r="BW210" s="336"/>
      <c r="BX210" s="336"/>
      <c r="BY210" s="336"/>
      <c r="CA210" s="336"/>
      <c r="CH210" s="8"/>
      <c r="CI210" s="8"/>
      <c r="CJ210" s="8"/>
      <c r="CK210" s="8"/>
      <c r="CL210" s="8"/>
      <c r="CM210" s="8"/>
      <c r="CN210" s="8"/>
      <c r="CO210" s="8"/>
    </row>
    <row r="211" spans="2:93">
      <c r="AA211" s="399"/>
      <c r="AB211" s="399"/>
      <c r="AC211" s="399"/>
      <c r="AD211" s="399"/>
      <c r="AE211" s="399"/>
      <c r="AF211" s="399"/>
      <c r="AG211" s="399"/>
      <c r="AH211" s="399"/>
      <c r="AI211" s="399"/>
      <c r="AJ211" s="336"/>
      <c r="AK211" s="336"/>
      <c r="AL211" s="336"/>
      <c r="AM211" s="336"/>
      <c r="AN211" s="336"/>
      <c r="AO211" s="336"/>
      <c r="AP211" s="336"/>
      <c r="AQ211" s="336"/>
      <c r="AR211" s="336"/>
      <c r="AS211" s="336"/>
      <c r="AT211" s="336"/>
      <c r="AU211" s="336"/>
      <c r="AV211" s="336"/>
      <c r="AW211" s="336"/>
      <c r="AX211" s="336"/>
      <c r="AY211" s="336"/>
      <c r="AZ211" s="336"/>
      <c r="BA211" s="336"/>
      <c r="BB211" s="336"/>
      <c r="BC211" s="336"/>
      <c r="BD211" s="336"/>
      <c r="BE211" s="336"/>
      <c r="BF211" s="336"/>
      <c r="BG211" s="336"/>
      <c r="BH211" s="336"/>
      <c r="BI211" s="336"/>
      <c r="BJ211" s="336"/>
      <c r="BK211" s="336"/>
      <c r="BL211" s="336"/>
      <c r="BM211" s="336"/>
      <c r="BN211" s="336"/>
      <c r="BO211" s="336"/>
      <c r="BP211" s="336"/>
      <c r="BQ211" s="336"/>
      <c r="BR211" s="336"/>
      <c r="BS211" s="336"/>
      <c r="BT211" s="336"/>
      <c r="BU211" s="336"/>
      <c r="BV211" s="336"/>
      <c r="CH211" s="8"/>
      <c r="CI211" s="8"/>
      <c r="CJ211" s="8"/>
      <c r="CK211" s="8"/>
      <c r="CL211" s="8"/>
      <c r="CM211" s="8"/>
      <c r="CN211" s="8"/>
      <c r="CO211" s="8"/>
    </row>
    <row r="212" spans="2:93">
      <c r="B212" s="2" t="s">
        <v>588</v>
      </c>
      <c r="C212" s="150" t="s">
        <v>1844</v>
      </c>
      <c r="D212" s="150" t="s">
        <v>1848</v>
      </c>
      <c r="E212" s="150" t="s">
        <v>1067</v>
      </c>
      <c r="F212" s="150" t="s">
        <v>1725</v>
      </c>
      <c r="G212" s="150" t="s">
        <v>400</v>
      </c>
      <c r="CH212" s="8"/>
      <c r="CI212" s="8"/>
      <c r="CJ212" s="8"/>
      <c r="CK212" s="8"/>
      <c r="CL212" s="8"/>
      <c r="CM212" s="8"/>
      <c r="CN212" s="8"/>
      <c r="CO212" s="8"/>
    </row>
    <row r="213" spans="2:93">
      <c r="B213" s="3" t="s">
        <v>143</v>
      </c>
      <c r="C213" s="87">
        <f>AQ133</f>
        <v>477025</v>
      </c>
      <c r="D213" s="87" t="e">
        <f>#REF!</f>
        <v>#REF!</v>
      </c>
      <c r="E213" s="8" t="e">
        <f>C213/D213-1</f>
        <v>#REF!</v>
      </c>
      <c r="F213" s="87">
        <f>AM133</f>
        <v>461310</v>
      </c>
      <c r="G213" s="8">
        <f>C213/F213-1</f>
        <v>3.4066029351195404E-2</v>
      </c>
      <c r="H213" s="87"/>
      <c r="I213" s="87"/>
      <c r="J213" s="87"/>
      <c r="N213" s="87"/>
      <c r="O213" s="8"/>
      <c r="P213" s="87"/>
      <c r="Q213" s="8"/>
      <c r="CH213" s="8"/>
      <c r="CI213" s="8"/>
      <c r="CJ213" s="8"/>
      <c r="CK213" s="8"/>
      <c r="CL213" s="8"/>
      <c r="CM213" s="8"/>
      <c r="CN213" s="8"/>
      <c r="CO213" s="8"/>
    </row>
    <row r="214" spans="2:93">
      <c r="B214" s="3" t="s">
        <v>1746</v>
      </c>
      <c r="C214" s="87">
        <f>AQ134</f>
        <v>374787</v>
      </c>
      <c r="D214" s="87" t="e">
        <f>#REF!</f>
        <v>#REF!</v>
      </c>
      <c r="E214" s="8" t="e">
        <f>C214/D214-1</f>
        <v>#REF!</v>
      </c>
      <c r="F214" s="87">
        <f>AM134</f>
        <v>381788</v>
      </c>
      <c r="G214" s="8">
        <f>C214/F214-1</f>
        <v>-1.8337401908912754E-2</v>
      </c>
      <c r="H214" s="87"/>
      <c r="I214" s="87"/>
      <c r="J214" s="87"/>
      <c r="N214" s="87"/>
      <c r="O214" s="8"/>
      <c r="P214" s="87"/>
      <c r="Q214" s="8"/>
      <c r="CH214" s="8"/>
      <c r="CI214" s="8"/>
      <c r="CJ214" s="8"/>
      <c r="CK214" s="8"/>
      <c r="CL214" s="8"/>
      <c r="CM214" s="8"/>
      <c r="CN214" s="8"/>
      <c r="CO214" s="8"/>
    </row>
    <row r="215" spans="2:93">
      <c r="B215" s="3" t="s">
        <v>1747</v>
      </c>
      <c r="C215" s="87">
        <f>C213-C214</f>
        <v>102238</v>
      </c>
      <c r="D215" s="87" t="e">
        <f>D213-D214</f>
        <v>#REF!</v>
      </c>
      <c r="E215" s="8" t="e">
        <f>C215/D215-1</f>
        <v>#REF!</v>
      </c>
      <c r="F215" s="87">
        <f>F213-F214</f>
        <v>79522</v>
      </c>
      <c r="G215" s="8">
        <f>C215/F215-1</f>
        <v>0.28565679937627331</v>
      </c>
      <c r="H215" s="87"/>
      <c r="I215" s="87"/>
      <c r="J215" s="87"/>
      <c r="N215" s="87"/>
      <c r="O215" s="8"/>
      <c r="P215" s="87"/>
      <c r="Q215" s="8"/>
      <c r="CH215" s="8"/>
      <c r="CI215" s="8"/>
      <c r="CJ215" s="8"/>
      <c r="CK215" s="8"/>
      <c r="CL215" s="8"/>
      <c r="CM215" s="8"/>
      <c r="CN215" s="8"/>
      <c r="CO215" s="8"/>
    </row>
    <row r="216" spans="2:93">
      <c r="B216" s="3"/>
      <c r="C216" s="87"/>
      <c r="D216" s="87"/>
      <c r="E216" s="8"/>
      <c r="F216" s="87"/>
      <c r="G216" s="87"/>
      <c r="H216" s="87"/>
      <c r="I216" s="87"/>
      <c r="J216" s="87"/>
      <c r="N216" s="87"/>
      <c r="O216" s="8"/>
      <c r="P216" s="87"/>
      <c r="Q216" s="8"/>
      <c r="CH216" s="8"/>
      <c r="CI216" s="8"/>
      <c r="CJ216" s="8"/>
      <c r="CK216" s="8"/>
      <c r="CL216" s="8"/>
      <c r="CM216" s="8"/>
      <c r="CN216" s="8"/>
      <c r="CO216" s="8"/>
    </row>
    <row r="217" spans="2:93">
      <c r="B217" s="3" t="s">
        <v>945</v>
      </c>
      <c r="C217" s="87">
        <f>AQ150</f>
        <v>112975</v>
      </c>
      <c r="D217" s="87" t="e">
        <f>#REF!</f>
        <v>#REF!</v>
      </c>
      <c r="E217" s="8" t="e">
        <f>C217/D217-1</f>
        <v>#REF!</v>
      </c>
      <c r="F217" s="87">
        <f>AM150</f>
        <v>109033</v>
      </c>
      <c r="G217" s="8">
        <f>C217/F217-1</f>
        <v>3.6154191850173767E-2</v>
      </c>
      <c r="H217" s="87"/>
      <c r="I217" s="87"/>
      <c r="J217" s="87"/>
      <c r="N217" s="87"/>
      <c r="O217" s="8"/>
      <c r="P217" s="87"/>
      <c r="Q217" s="8"/>
      <c r="CH217" s="8"/>
      <c r="CI217" s="8"/>
      <c r="CJ217" s="8"/>
      <c r="CK217" s="8"/>
      <c r="CL217" s="8"/>
      <c r="CM217" s="8"/>
      <c r="CN217" s="8"/>
      <c r="CO217" s="8"/>
    </row>
    <row r="218" spans="2:93">
      <c r="B218" s="3" t="s">
        <v>5</v>
      </c>
      <c r="C218" s="8">
        <f>C217/C213</f>
        <v>0.23683245112939574</v>
      </c>
      <c r="D218" s="8" t="e">
        <f>D217/D213</f>
        <v>#REF!</v>
      </c>
      <c r="E218" s="8"/>
      <c r="F218" s="8">
        <f>F217/F213</f>
        <v>0.23635516247209035</v>
      </c>
      <c r="G218" s="8"/>
      <c r="H218" s="8"/>
      <c r="I218" s="87"/>
      <c r="J218" s="8"/>
      <c r="N218" s="8"/>
      <c r="O218" s="8"/>
      <c r="P218" s="8"/>
      <c r="Q218" s="8"/>
      <c r="CH218" s="8"/>
      <c r="CI218" s="8"/>
      <c r="CJ218" s="8"/>
      <c r="CK218" s="8"/>
      <c r="CL218" s="8"/>
      <c r="CM218" s="8"/>
      <c r="CN218" s="8"/>
      <c r="CO218" s="8"/>
    </row>
    <row r="219" spans="2:93">
      <c r="B219" s="3" t="s">
        <v>1748</v>
      </c>
      <c r="C219" s="87">
        <f>AQ151</f>
        <v>136840</v>
      </c>
      <c r="D219" s="87" t="e">
        <f>#REF!</f>
        <v>#REF!</v>
      </c>
      <c r="E219" s="8" t="e">
        <f>C219/D219-1</f>
        <v>#REF!</v>
      </c>
      <c r="F219" s="87">
        <f>AM151</f>
        <v>140476</v>
      </c>
      <c r="G219" s="8">
        <f>C219/F219-1</f>
        <v>-2.5883424926677834E-2</v>
      </c>
      <c r="H219" s="87"/>
      <c r="I219" s="87"/>
      <c r="J219" s="87"/>
      <c r="N219" s="87"/>
      <c r="O219" s="8"/>
      <c r="P219" s="87"/>
      <c r="Q219" s="8"/>
      <c r="CH219" s="8"/>
      <c r="CI219" s="8"/>
      <c r="CJ219" s="8"/>
      <c r="CK219" s="8"/>
      <c r="CL219" s="8"/>
      <c r="CM219" s="8"/>
      <c r="CN219" s="8"/>
      <c r="CO219" s="8"/>
    </row>
    <row r="220" spans="2:93">
      <c r="B220" s="3" t="s">
        <v>1749</v>
      </c>
      <c r="C220" s="87">
        <f>C217-C219</f>
        <v>-23865</v>
      </c>
      <c r="D220" s="87" t="e">
        <f>D217-D219</f>
        <v>#REF!</v>
      </c>
      <c r="E220" s="8" t="e">
        <f>C220/D220-1</f>
        <v>#REF!</v>
      </c>
      <c r="F220" s="87">
        <f>F217-F219</f>
        <v>-31443</v>
      </c>
      <c r="G220" s="8">
        <f>C220/F220-1</f>
        <v>-0.24100753744871672</v>
      </c>
      <c r="H220" s="8"/>
      <c r="I220" s="8"/>
      <c r="J220" s="8"/>
      <c r="N220" s="8"/>
      <c r="O220" s="8"/>
      <c r="P220" s="8"/>
      <c r="Q220" s="8"/>
      <c r="CH220" s="8"/>
      <c r="CI220" s="8"/>
      <c r="CJ220" s="8"/>
      <c r="CK220" s="8"/>
      <c r="CL220" s="8"/>
      <c r="CM220" s="8"/>
      <c r="CN220" s="8"/>
      <c r="CO220" s="8"/>
    </row>
    <row r="221" spans="2:93">
      <c r="B221" s="3"/>
      <c r="C221" s="8"/>
      <c r="D221" s="8"/>
      <c r="E221" s="8"/>
      <c r="F221" s="8"/>
      <c r="G221" s="8"/>
      <c r="H221" s="8"/>
      <c r="I221" s="8"/>
      <c r="J221" s="8"/>
      <c r="N221" s="8"/>
      <c r="O221" s="8"/>
      <c r="P221" s="8"/>
      <c r="Q221" s="8"/>
      <c r="CH221" s="8"/>
      <c r="CI221" s="8"/>
      <c r="CJ221" s="8"/>
      <c r="CK221" s="8"/>
      <c r="CL221" s="8"/>
      <c r="CM221" s="8"/>
      <c r="CN221" s="8"/>
      <c r="CO221" s="8"/>
    </row>
    <row r="222" spans="2:93">
      <c r="B222" s="3" t="s">
        <v>679</v>
      </c>
      <c r="C222" s="87">
        <f>AQ190</f>
        <v>31218</v>
      </c>
      <c r="D222" s="87" t="e">
        <f>#REF!</f>
        <v>#REF!</v>
      </c>
      <c r="E222" s="8" t="e">
        <f>C222/D222-1</f>
        <v>#REF!</v>
      </c>
      <c r="F222" s="87">
        <f>AM190</f>
        <v>35059</v>
      </c>
      <c r="G222" s="8">
        <f>C222/F222-1</f>
        <v>-0.10955817336489915</v>
      </c>
      <c r="H222" s="87"/>
      <c r="I222" s="87"/>
      <c r="J222" s="87"/>
      <c r="N222" s="87"/>
      <c r="O222" s="8"/>
      <c r="P222" s="87"/>
      <c r="Q222" s="8"/>
      <c r="CH222" s="8"/>
      <c r="CI222" s="8"/>
      <c r="CJ222" s="8"/>
      <c r="CK222" s="8"/>
      <c r="CL222" s="8"/>
      <c r="CM222" s="8"/>
      <c r="CN222" s="8"/>
      <c r="CO222" s="8"/>
    </row>
    <row r="223" spans="2:93">
      <c r="B223" s="3" t="s">
        <v>96</v>
      </c>
      <c r="C223" s="87">
        <f>AQ192</f>
        <v>10854</v>
      </c>
      <c r="D223" s="87" t="e">
        <f>#REF!</f>
        <v>#REF!</v>
      </c>
      <c r="E223" s="8" t="e">
        <f>C223/D223-1</f>
        <v>#REF!</v>
      </c>
      <c r="F223" s="87">
        <f>AM192</f>
        <v>12795</v>
      </c>
      <c r="G223" s="8">
        <f>C223/F223-1</f>
        <v>-0.15169988276670576</v>
      </c>
      <c r="H223" s="87"/>
      <c r="I223" s="87"/>
      <c r="J223" s="87"/>
      <c r="N223" s="87"/>
      <c r="O223" s="8"/>
      <c r="P223" s="87"/>
      <c r="Q223" s="8"/>
      <c r="CH223" s="8"/>
      <c r="CI223" s="8"/>
      <c r="CJ223" s="8"/>
      <c r="CK223" s="8"/>
      <c r="CL223" s="8"/>
      <c r="CM223" s="8"/>
      <c r="CN223" s="8"/>
      <c r="CO223" s="8"/>
    </row>
    <row r="224" spans="2:93">
      <c r="B224" s="3" t="s">
        <v>100</v>
      </c>
      <c r="C224" s="87">
        <f>AQ194</f>
        <v>14108</v>
      </c>
      <c r="D224" s="87" t="e">
        <f>#REF!</f>
        <v>#REF!</v>
      </c>
      <c r="E224" s="8" t="e">
        <f>C224/D224-1</f>
        <v>#REF!</v>
      </c>
      <c r="F224" s="87">
        <f>AM194</f>
        <v>23970</v>
      </c>
      <c r="G224" s="8">
        <f>C224/F224-1</f>
        <v>-0.41143095536086771</v>
      </c>
      <c r="H224" s="87"/>
      <c r="I224" s="87"/>
      <c r="J224" s="87"/>
      <c r="N224" s="87"/>
      <c r="O224" s="8"/>
      <c r="P224" s="87"/>
      <c r="Q224" s="8"/>
      <c r="CH224" s="8"/>
      <c r="CI224" s="8"/>
      <c r="CJ224" s="8"/>
      <c r="CK224" s="8"/>
      <c r="CL224" s="8"/>
      <c r="CM224" s="8"/>
      <c r="CN224" s="8"/>
      <c r="CO224" s="8"/>
    </row>
    <row r="225" spans="2:98">
      <c r="E225" s="178"/>
      <c r="CH225" s="8"/>
      <c r="CI225" s="8"/>
      <c r="CJ225" s="8"/>
      <c r="CK225" s="8"/>
      <c r="CL225" s="8"/>
      <c r="CM225" s="8"/>
      <c r="CN225" s="8"/>
      <c r="CO225" s="8"/>
    </row>
    <row r="226" spans="2:98">
      <c r="B226" s="3" t="s">
        <v>1066</v>
      </c>
      <c r="C226" s="87">
        <f>AQ164</f>
        <v>84594</v>
      </c>
      <c r="D226" s="87" t="e">
        <f>#REF!</f>
        <v>#REF!</v>
      </c>
      <c r="E226" s="8" t="e">
        <f>C226/D226-1</f>
        <v>#REF!</v>
      </c>
      <c r="F226" s="87">
        <f>AM164</f>
        <v>59787</v>
      </c>
      <c r="G226" s="8">
        <f>C226/F226-1</f>
        <v>0.4149229765668121</v>
      </c>
      <c r="H226" s="87"/>
      <c r="I226" s="87"/>
      <c r="J226" s="87"/>
      <c r="N226" s="87"/>
      <c r="O226" s="8"/>
      <c r="P226" s="87"/>
      <c r="Q226" s="8"/>
      <c r="CH226" s="8"/>
      <c r="CI226" s="8"/>
      <c r="CJ226" s="8"/>
      <c r="CK226" s="8"/>
      <c r="CL226" s="8"/>
      <c r="CM226" s="8"/>
      <c r="CN226" s="8"/>
      <c r="CO226" s="8"/>
    </row>
    <row r="227" spans="2:98">
      <c r="B227" s="3" t="s">
        <v>177</v>
      </c>
      <c r="C227" s="87">
        <f>C217-C226</f>
        <v>28381</v>
      </c>
      <c r="D227" s="87" t="e">
        <f>D217-D226</f>
        <v>#REF!</v>
      </c>
      <c r="E227" s="8" t="e">
        <f>C227/D227-1</f>
        <v>#REF!</v>
      </c>
      <c r="F227" s="87">
        <f>F217-F226</f>
        <v>49246</v>
      </c>
      <c r="G227" s="8">
        <f>C227/F227-1</f>
        <v>-0.42368923364334155</v>
      </c>
      <c r="H227" s="87"/>
      <c r="I227" s="87"/>
      <c r="J227" s="87"/>
      <c r="N227" s="87"/>
      <c r="O227" s="8"/>
      <c r="P227" s="87"/>
      <c r="Q227" s="8"/>
      <c r="CH227" s="8"/>
      <c r="CI227" s="8"/>
      <c r="CJ227" s="8"/>
      <c r="CK227" s="8"/>
      <c r="CL227" s="8"/>
      <c r="CM227" s="8"/>
      <c r="CN227" s="8"/>
      <c r="CO227" s="8"/>
    </row>
    <row r="228" spans="2:98">
      <c r="B228" s="3"/>
      <c r="CH228" s="8"/>
      <c r="CI228" s="8"/>
      <c r="CJ228" s="8"/>
      <c r="CK228" s="8"/>
      <c r="CL228" s="8"/>
      <c r="CM228" s="8"/>
      <c r="CN228" s="8"/>
      <c r="CO228" s="8"/>
    </row>
    <row r="229" spans="2:98">
      <c r="B229" s="95" t="s">
        <v>30</v>
      </c>
      <c r="D229" t="s">
        <v>409</v>
      </c>
      <c r="E229" t="s">
        <v>410</v>
      </c>
      <c r="F229" t="s">
        <v>411</v>
      </c>
      <c r="G229" t="s">
        <v>1106</v>
      </c>
      <c r="H229" t="s">
        <v>1191</v>
      </c>
      <c r="CH229" s="8"/>
      <c r="CI229" s="8"/>
      <c r="CJ229" s="8"/>
      <c r="CK229" s="8"/>
      <c r="CL229" s="8"/>
      <c r="CM229" s="8"/>
      <c r="CN229" s="8"/>
      <c r="CO229" s="8"/>
    </row>
    <row r="230" spans="2:98">
      <c r="B230" s="3" t="s">
        <v>1070</v>
      </c>
      <c r="D230">
        <v>1569</v>
      </c>
      <c r="E230">
        <v>1556</v>
      </c>
      <c r="F230">
        <v>1493</v>
      </c>
      <c r="G230">
        <v>1453</v>
      </c>
      <c r="H230">
        <v>1480</v>
      </c>
      <c r="CH230" s="8"/>
      <c r="CI230" s="8"/>
      <c r="CJ230" s="8"/>
      <c r="CK230" s="8"/>
      <c r="CL230" s="8"/>
      <c r="CM230" s="8"/>
      <c r="CN230" s="8"/>
      <c r="CO230" s="8"/>
    </row>
    <row r="231" spans="2:98">
      <c r="E231">
        <f>E230-D230</f>
        <v>-13</v>
      </c>
      <c r="F231">
        <f>F230-E230</f>
        <v>-63</v>
      </c>
      <c r="G231">
        <f>G230-F230</f>
        <v>-40</v>
      </c>
      <c r="H231">
        <f>H230-G230</f>
        <v>27</v>
      </c>
    </row>
    <row r="233" spans="2:98">
      <c r="B233" s="272" t="s">
        <v>30</v>
      </c>
      <c r="C233" s="249"/>
      <c r="D233" s="249"/>
      <c r="E233" s="249"/>
      <c r="F233" s="249"/>
      <c r="G233" s="249"/>
      <c r="H233" s="249"/>
      <c r="I233" s="249"/>
      <c r="J233" s="249"/>
      <c r="K233" s="249"/>
      <c r="L233" s="249"/>
      <c r="M233" s="249"/>
      <c r="N233" s="249"/>
      <c r="O233" s="249"/>
      <c r="P233" s="249"/>
      <c r="Q233" s="249"/>
      <c r="R233" s="249"/>
      <c r="S233" s="249"/>
      <c r="T233" s="249"/>
      <c r="U233" s="249"/>
      <c r="V233" s="249"/>
      <c r="W233" s="249"/>
      <c r="X233" s="249"/>
      <c r="Y233" s="249"/>
      <c r="Z233" s="13" t="s">
        <v>407</v>
      </c>
      <c r="AA233" s="13" t="s">
        <v>730</v>
      </c>
      <c r="AB233" s="476"/>
      <c r="AC233" s="13" t="s">
        <v>409</v>
      </c>
      <c r="AD233" s="13" t="s">
        <v>410</v>
      </c>
      <c r="AE233" s="13" t="s">
        <v>411</v>
      </c>
      <c r="AF233" s="13" t="s">
        <v>1106</v>
      </c>
      <c r="AG233" s="13" t="s">
        <v>1191</v>
      </c>
      <c r="AH233" s="13" t="s">
        <v>1255</v>
      </c>
      <c r="AI233" s="13" t="s">
        <v>1269</v>
      </c>
      <c r="AJ233" s="13" t="s">
        <v>1270</v>
      </c>
      <c r="AK233" s="13" t="s">
        <v>1640</v>
      </c>
      <c r="AL233" s="13" t="s">
        <v>1710</v>
      </c>
      <c r="AM233" s="13" t="s">
        <v>1725</v>
      </c>
      <c r="AN233" s="13" t="s">
        <v>1745</v>
      </c>
      <c r="AO233" s="13" t="s">
        <v>1750</v>
      </c>
      <c r="AP233" s="13" t="s">
        <v>1798</v>
      </c>
      <c r="AQ233" s="13" t="str">
        <f t="shared" ref="AQ233:BI233" si="591">AQ122</f>
        <v>Q1 17</v>
      </c>
      <c r="AR233" s="13" t="str">
        <f t="shared" si="591"/>
        <v>Q2 17</v>
      </c>
      <c r="AS233" s="13" t="str">
        <f t="shared" si="591"/>
        <v>Q3 17</v>
      </c>
      <c r="AT233" s="13" t="str">
        <f t="shared" si="591"/>
        <v>Q4 17</v>
      </c>
      <c r="AU233" s="13" t="str">
        <f t="shared" si="591"/>
        <v>Q1 18</v>
      </c>
      <c r="AV233" s="13" t="str">
        <f t="shared" si="591"/>
        <v>Q2 18</v>
      </c>
      <c r="AW233" s="13" t="str">
        <f t="shared" si="591"/>
        <v>Q3 18</v>
      </c>
      <c r="AX233" s="13" t="str">
        <f t="shared" si="591"/>
        <v>Q4 18</v>
      </c>
      <c r="AY233" s="13" t="str">
        <f t="shared" si="591"/>
        <v>Q1 19</v>
      </c>
      <c r="AZ233" s="13" t="str">
        <f t="shared" si="591"/>
        <v>Q2 19</v>
      </c>
      <c r="BA233" s="13" t="str">
        <f t="shared" si="591"/>
        <v>Q3 19</v>
      </c>
      <c r="BB233" s="13" t="str">
        <f t="shared" si="591"/>
        <v>Q4 19</v>
      </c>
      <c r="BC233" s="13" t="str">
        <f t="shared" si="591"/>
        <v>Q1 20</v>
      </c>
      <c r="BD233" s="13" t="str">
        <f t="shared" si="591"/>
        <v>Q2 20</v>
      </c>
      <c r="BE233" s="13" t="str">
        <f t="shared" si="591"/>
        <v>Q3 20</v>
      </c>
      <c r="BF233" s="13" t="str">
        <f t="shared" si="591"/>
        <v>Q4 20</v>
      </c>
      <c r="BG233" s="13" t="str">
        <f t="shared" si="591"/>
        <v>Q1 21</v>
      </c>
      <c r="BH233" s="13" t="str">
        <f t="shared" si="591"/>
        <v>Q2 21</v>
      </c>
      <c r="BI233" s="13" t="str">
        <f t="shared" si="591"/>
        <v>Q3 21</v>
      </c>
      <c r="BJ233" s="13" t="s">
        <v>2929</v>
      </c>
      <c r="BK233" s="13" t="s">
        <v>2931</v>
      </c>
      <c r="BL233" s="13" t="str">
        <f t="shared" ref="BL233:BQ233" si="592">BL122</f>
        <v>Q2 22</v>
      </c>
      <c r="BM233" s="13" t="str">
        <f t="shared" si="592"/>
        <v>Q3 22</v>
      </c>
      <c r="BN233" s="13" t="str">
        <f t="shared" si="592"/>
        <v>Q4 22</v>
      </c>
      <c r="BO233" s="13" t="str">
        <f t="shared" si="592"/>
        <v>Q1 23</v>
      </c>
      <c r="BP233" s="13" t="str">
        <f t="shared" si="592"/>
        <v>Q2 23</v>
      </c>
      <c r="BQ233" s="13" t="str">
        <f t="shared" si="592"/>
        <v>Q3 23</v>
      </c>
      <c r="BR233" s="13" t="str">
        <f t="shared" ref="BR233" si="593">BR122</f>
        <v>Q4 23</v>
      </c>
      <c r="BS233" s="403"/>
      <c r="BT233" s="403"/>
      <c r="BU233" s="403"/>
      <c r="BV233" s="403"/>
      <c r="BW233" s="152"/>
      <c r="BX233" s="152"/>
      <c r="BY233" s="152"/>
    </row>
    <row r="234" spans="2:98">
      <c r="B234" s="3" t="s">
        <v>1080</v>
      </c>
      <c r="Z234" s="3">
        <v>216</v>
      </c>
      <c r="AA234" s="3">
        <v>213</v>
      </c>
      <c r="AC234" s="3"/>
      <c r="AD234" s="7">
        <f>AC282*AD287</f>
        <v>0</v>
      </c>
      <c r="AE234" s="7">
        <f>AD282*AE287</f>
        <v>0</v>
      </c>
      <c r="AF234" s="7">
        <f>AE282*AF287</f>
        <v>0</v>
      </c>
      <c r="AG234" s="7">
        <f>AF282*AG287</f>
        <v>0</v>
      </c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</row>
    <row r="235" spans="2:98">
      <c r="B235" s="3" t="s">
        <v>1081</v>
      </c>
      <c r="Z235" s="3"/>
      <c r="AA235" s="3"/>
      <c r="AC235" s="7">
        <f>Interims!AC126/AC286</f>
        <v>66.904970414201188</v>
      </c>
      <c r="AD235" s="7">
        <f>Interims!AD126/AD286</f>
        <v>182.80785299806575</v>
      </c>
      <c r="AE235" s="7">
        <f>Interims!AE126/AE286</f>
        <v>181.98313405797103</v>
      </c>
      <c r="AF235" s="7">
        <f>Interims!AF126/AF286</f>
        <v>178.4292972972973</v>
      </c>
      <c r="AG235" s="7">
        <f>Interims!AG126/AG286</f>
        <v>181.11425605536331</v>
      </c>
      <c r="AH235" s="7">
        <f>Interims!AH126/AH286</f>
        <v>215.28150501672243</v>
      </c>
      <c r="AI235" s="7">
        <f>Interims!AI126/AI286</f>
        <v>240.41620764800373</v>
      </c>
      <c r="AJ235" s="7">
        <f>Interims!AJ126/AJ286</f>
        <v>258.98394822006475</v>
      </c>
      <c r="AK235" s="7">
        <f>Interims!AK126/AK286</f>
        <v>302.88290206272256</v>
      </c>
      <c r="AL235" s="7">
        <f>Interims!AL126/AL286</f>
        <v>350.54185281467585</v>
      </c>
      <c r="AM235" s="7">
        <f>Interims!AM126/AM286</f>
        <v>391.08117926580275</v>
      </c>
      <c r="AN235" s="7">
        <f>Interims!AN126/AN286</f>
        <v>401.87337813884784</v>
      </c>
      <c r="AO235" s="7">
        <f>Interims!AO126/AO286</f>
        <v>461.51695468277944</v>
      </c>
      <c r="AP235" s="7">
        <f>Interims!AP126/AP286</f>
        <v>483.68411578947371</v>
      </c>
      <c r="AQ235" s="7">
        <f>(Interims!AQ126+Interims!AQ125)/AQ286</f>
        <v>532.37118658536588</v>
      </c>
      <c r="AR235" s="7">
        <f>(Interims!AR126+Interims!AR125)/AR286</f>
        <v>575.22307228915656</v>
      </c>
      <c r="AS235" s="7">
        <f>(Interims!AS126+Interims!AS125)/AS286</f>
        <v>618.11760124610589</v>
      </c>
      <c r="AT235" s="7">
        <f>(Interims!AT126+Interims!AT125)/AT286</f>
        <v>702.35426540284357</v>
      </c>
      <c r="AU235" s="7">
        <f>(Interims!AU126+Interims!AU125)/AU286</f>
        <v>599.13828020685298</v>
      </c>
      <c r="AV235" s="7">
        <f>(Interims!AV126+Interims!AV125)/AV286</f>
        <v>601.9257659193579</v>
      </c>
      <c r="AW235" s="7">
        <f>(Interims!AW126+Interims!AW125)/AW286</f>
        <v>642.5970437405731</v>
      </c>
      <c r="AX235" s="7">
        <f>(Interims!AX126+Interims!AX125)/AX286</f>
        <v>678.90255506607923</v>
      </c>
      <c r="AY235" s="7">
        <f>(Interims!AY126+Interims!AY125)/AY286</f>
        <v>644.86029940119761</v>
      </c>
      <c r="AZ235" s="7">
        <f>(Interims!AZ126+Interims!AZ125)/AZ286</f>
        <v>697.09792093704243</v>
      </c>
      <c r="BA235" s="7">
        <f>(Interims!BA126+Interims!BA125)/BA286</f>
        <v>741.6804978038067</v>
      </c>
      <c r="BB235" s="7">
        <f>(Interims!BB126+Interims!BB125)/BB286</f>
        <v>785.81276821192046</v>
      </c>
      <c r="BC235" s="7">
        <f>('New Ints'!K10)/BC286</f>
        <v>695.88403189607766</v>
      </c>
      <c r="BD235" s="7">
        <f>('New Ints'!L10)/BD286</f>
        <v>530.07857743883699</v>
      </c>
      <c r="BE235" s="7">
        <f>('New Ints'!M10)/BE286</f>
        <v>754.58284826011618</v>
      </c>
      <c r="BF235" s="7">
        <f>('New Ints'!N10)/BF286</f>
        <v>887.19157894736838</v>
      </c>
      <c r="BG235" s="7">
        <f>('New Ints'!O10)/BG286</f>
        <v>878.0461325966852</v>
      </c>
      <c r="BH235" s="7">
        <f>('New Ints'!P10)/BH286</f>
        <v>985.87639664804476</v>
      </c>
      <c r="BI235" s="7">
        <f>('New Ints'!Q10)/BI286</f>
        <v>1029.9558139534884</v>
      </c>
      <c r="BJ235" s="7">
        <f>('New Ints'!R10)/BJ286</f>
        <v>1093.2990326481256</v>
      </c>
      <c r="BK235" s="7">
        <f>('New Ints'!S10)/BK286</f>
        <v>1085.1553267022134</v>
      </c>
      <c r="BL235" s="7">
        <f>('New Ints'!T10)/BL286</f>
        <v>1016.194652952234</v>
      </c>
      <c r="BM235" s="7">
        <f>('New Ints'!U10)/BM286</f>
        <v>919.67485957203905</v>
      </c>
      <c r="BN235" s="7">
        <f>('New Ints'!V10)/BN286</f>
        <v>939.3774808324207</v>
      </c>
      <c r="BO235" s="7">
        <f>('New Ints'!W10)/BO286</f>
        <v>923.38274626891734</v>
      </c>
      <c r="BP235" s="7">
        <f>('New Ints'!X10)/BP286</f>
        <v>897.9463380945665</v>
      </c>
      <c r="BQ235" s="7">
        <f>('New Ints'!Y10)/BQ286</f>
        <v>885.01432947815101</v>
      </c>
      <c r="BR235" s="7">
        <f>('New Ints'!Z10)/BR286</f>
        <v>926.83406249999996</v>
      </c>
      <c r="BS235" s="7"/>
      <c r="BT235" s="7"/>
      <c r="BU235" s="7"/>
      <c r="BV235" s="7"/>
      <c r="BW235" s="7"/>
      <c r="BX235" s="7"/>
      <c r="BY235" s="7"/>
    </row>
    <row r="236" spans="2:98">
      <c r="B236" s="3" t="s">
        <v>1354</v>
      </c>
      <c r="Z236" s="3"/>
      <c r="AA236" s="3"/>
      <c r="AC236" s="7"/>
      <c r="AD236" s="7"/>
      <c r="AE236" s="7"/>
      <c r="AF236" s="7"/>
      <c r="AG236" s="7"/>
      <c r="AH236" s="5">
        <f t="shared" ref="AH236:AS236" si="594">AH235/AD235-1</f>
        <v>0.17763816754086759</v>
      </c>
      <c r="AI236" s="5">
        <f t="shared" si="594"/>
        <v>0.32109059937070183</v>
      </c>
      <c r="AJ236" s="5">
        <f t="shared" si="594"/>
        <v>0.45146538232758937</v>
      </c>
      <c r="AK236" s="5">
        <f t="shared" si="594"/>
        <v>0.67233054238500589</v>
      </c>
      <c r="AL236" s="5">
        <f t="shared" si="594"/>
        <v>0.62829525363754213</v>
      </c>
      <c r="AM236" s="5">
        <f t="shared" si="594"/>
        <v>0.62668392073794554</v>
      </c>
      <c r="AN236" s="5">
        <f t="shared" si="594"/>
        <v>0.55173083467461304</v>
      </c>
      <c r="AO236" s="5">
        <f t="shared" si="594"/>
        <v>0.52374713640060833</v>
      </c>
      <c r="AP236" s="5">
        <f t="shared" si="594"/>
        <v>0.37981844936840514</v>
      </c>
      <c r="AQ236" s="5">
        <f t="shared" si="594"/>
        <v>0.36128050852463489</v>
      </c>
      <c r="AR236" s="5">
        <f t="shared" si="594"/>
        <v>0.43135401243327975</v>
      </c>
      <c r="AS236" s="5">
        <f t="shared" si="594"/>
        <v>0.33931721245423119</v>
      </c>
      <c r="AT236" s="5">
        <f t="shared" ref="AT236:BA236" si="595">AT235/AP235-1</f>
        <v>0.45209288970851236</v>
      </c>
      <c r="AU236" s="5">
        <f t="shared" si="595"/>
        <v>0.12541455154575876</v>
      </c>
      <c r="AV236" s="5">
        <f t="shared" si="595"/>
        <v>4.6421457894474383E-2</v>
      </c>
      <c r="AW236" s="5">
        <f t="shared" si="595"/>
        <v>3.9603212147846012E-2</v>
      </c>
      <c r="AX236" s="5">
        <f t="shared" si="595"/>
        <v>-3.3390144392891674E-2</v>
      </c>
      <c r="AY236" s="5">
        <f t="shared" si="595"/>
        <v>7.631296597933801E-2</v>
      </c>
      <c r="AZ236" s="5">
        <f t="shared" si="595"/>
        <v>0.15811277803056378</v>
      </c>
      <c r="BA236" s="5">
        <f t="shared" si="595"/>
        <v>0.1541922033852916</v>
      </c>
      <c r="BB236" s="5"/>
      <c r="BC236" s="5"/>
      <c r="BD236" s="5"/>
      <c r="BE236" s="5"/>
      <c r="BF236" s="5"/>
      <c r="BG236" s="5"/>
    </row>
    <row r="237" spans="2:98">
      <c r="B237" s="3"/>
      <c r="Z237" s="3"/>
      <c r="AA237" s="3"/>
      <c r="AC237" s="7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>
        <f>BG238*$BG$248</f>
        <v>535.92110000000002</v>
      </c>
      <c r="CT237" t="s">
        <v>2935</v>
      </c>
    </row>
    <row r="238" spans="2:98">
      <c r="B238" s="3"/>
      <c r="Z238" s="3"/>
      <c r="AA238" s="3"/>
      <c r="AC238" s="7"/>
      <c r="AD238" s="7"/>
      <c r="AE238" s="7"/>
      <c r="AF238" s="7"/>
      <c r="AG238" s="7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164">
        <v>138.5</v>
      </c>
      <c r="BD238" s="164">
        <v>129.4</v>
      </c>
      <c r="BE238" s="164">
        <v>140</v>
      </c>
      <c r="BF238" s="164">
        <v>146.4</v>
      </c>
      <c r="BG238" s="164">
        <v>143</v>
      </c>
      <c r="CT238" t="s">
        <v>2936</v>
      </c>
    </row>
    <row r="239" spans="2:98">
      <c r="B239" s="3"/>
      <c r="Z239" s="3"/>
      <c r="AA239" s="3"/>
      <c r="AC239" s="7"/>
      <c r="AD239" s="7"/>
      <c r="AE239" s="7"/>
      <c r="AF239" s="7"/>
      <c r="AG239" s="7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</row>
    <row r="240" spans="2:98">
      <c r="B240" s="3" t="s">
        <v>1641</v>
      </c>
      <c r="Z240" s="3"/>
      <c r="AA240" s="3"/>
      <c r="AC240" s="7"/>
      <c r="AD240" s="7"/>
      <c r="AE240" s="7"/>
      <c r="AF240" s="11">
        <v>10.9</v>
      </c>
      <c r="AG240" s="11">
        <v>11.3</v>
      </c>
      <c r="AH240" s="11">
        <v>11.6</v>
      </c>
      <c r="AI240" s="11">
        <v>11.1</v>
      </c>
      <c r="AJ240" s="11">
        <v>10.9</v>
      </c>
      <c r="AK240" s="11">
        <v>10.9</v>
      </c>
      <c r="AL240" s="11">
        <v>9.6999999999999993</v>
      </c>
      <c r="AM240" s="11">
        <v>9.6</v>
      </c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</row>
    <row r="241" spans="2:84">
      <c r="B241" s="3" t="s">
        <v>1642</v>
      </c>
      <c r="Z241" s="3"/>
      <c r="AA241" s="3"/>
      <c r="AC241" s="7"/>
      <c r="AD241" s="7"/>
      <c r="AE241" s="7"/>
      <c r="AF241" s="11">
        <f t="shared" ref="AF241:AG241" si="596">AF240*AF287</f>
        <v>30.411000000000001</v>
      </c>
      <c r="AG241" s="11">
        <f t="shared" si="596"/>
        <v>31.866</v>
      </c>
      <c r="AH241" s="11">
        <f t="shared" ref="AH241:AM241" si="597">AH240*$AM$248</f>
        <v>38.546799999999998</v>
      </c>
      <c r="AI241" s="11">
        <f t="shared" si="597"/>
        <v>36.885300000000001</v>
      </c>
      <c r="AJ241" s="11">
        <f t="shared" si="597"/>
        <v>36.220700000000001</v>
      </c>
      <c r="AK241" s="11">
        <f t="shared" si="597"/>
        <v>36.220700000000001</v>
      </c>
      <c r="AL241" s="11">
        <f t="shared" si="597"/>
        <v>32.2331</v>
      </c>
      <c r="AM241" s="11">
        <f t="shared" si="597"/>
        <v>31.900799999999997</v>
      </c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J241">
        <f>BJ242*BJ248</f>
        <v>609.6123</v>
      </c>
    </row>
    <row r="242" spans="2:84">
      <c r="B242" s="3"/>
      <c r="Z242" s="3"/>
      <c r="AA242" s="3"/>
      <c r="AC242" s="7"/>
      <c r="AD242" s="7"/>
      <c r="AE242" s="7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E242">
        <v>131.5</v>
      </c>
      <c r="BF242">
        <v>137.5</v>
      </c>
      <c r="BG242">
        <v>134.30000000000001</v>
      </c>
      <c r="BH242">
        <v>142.4</v>
      </c>
      <c r="BI242">
        <v>148.9</v>
      </c>
      <c r="BJ242">
        <v>152.9</v>
      </c>
    </row>
    <row r="243" spans="2:84">
      <c r="B243" s="3" t="s">
        <v>1643</v>
      </c>
      <c r="Z243" s="3"/>
      <c r="AA243" s="3"/>
      <c r="AC243" s="7"/>
      <c r="AD243" s="7"/>
      <c r="AE243" s="7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>
        <f t="shared" ref="BG243:BJ243" si="598">BG244*$BK$248</f>
        <v>483.49839999999995</v>
      </c>
      <c r="BH243" s="15">
        <f t="shared" si="598"/>
        <v>513.25779999999997</v>
      </c>
      <c r="BI243" s="15">
        <f t="shared" si="598"/>
        <v>536.404</v>
      </c>
      <c r="BJ243" s="15">
        <f t="shared" si="598"/>
        <v>552.93700000000001</v>
      </c>
      <c r="BK243" s="15">
        <f>BK244*$BK$248</f>
        <v>550.73260000000005</v>
      </c>
    </row>
    <row r="244" spans="2:84">
      <c r="B244" s="3" t="s">
        <v>1354</v>
      </c>
      <c r="Z244" s="3"/>
      <c r="AA244" s="3"/>
      <c r="AC244" s="7"/>
      <c r="AD244" s="7"/>
      <c r="AE244" s="7"/>
      <c r="AF244" s="11"/>
      <c r="AG244" s="11"/>
      <c r="AH244" s="11"/>
      <c r="AI244" s="11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G244">
        <v>131.6</v>
      </c>
      <c r="BH244">
        <v>139.69999999999999</v>
      </c>
      <c r="BI244">
        <v>146</v>
      </c>
      <c r="BJ244">
        <v>150.5</v>
      </c>
      <c r="BK244">
        <v>149.9</v>
      </c>
    </row>
    <row r="245" spans="2:84">
      <c r="B245" s="3" t="s">
        <v>1644</v>
      </c>
      <c r="Z245" s="3"/>
      <c r="AA245" s="3"/>
      <c r="AC245" s="7"/>
      <c r="AD245" s="7"/>
      <c r="AE245" s="7"/>
      <c r="AF245" s="11"/>
      <c r="AG245" s="11">
        <f t="shared" ref="AG245:AL245" si="599">AG235-AG249</f>
        <v>16.363516055363306</v>
      </c>
      <c r="AH245" s="11">
        <f t="shared" si="599"/>
        <v>34.057055016722416</v>
      </c>
      <c r="AI245" s="11">
        <f t="shared" si="599"/>
        <v>25.234977648003706</v>
      </c>
      <c r="AJ245" s="11">
        <f t="shared" si="599"/>
        <v>39.052588220064763</v>
      </c>
      <c r="AK245" s="11">
        <f t="shared" si="599"/>
        <v>54.624672062722567</v>
      </c>
      <c r="AL245" s="11">
        <f t="shared" si="599"/>
        <v>53.060272814675841</v>
      </c>
      <c r="AM245" s="11">
        <f t="shared" ref="AM245:BP245" si="600">AM235-AM249</f>
        <v>50.108149265802751</v>
      </c>
      <c r="AN245" s="11">
        <f t="shared" si="600"/>
        <v>44.898604138847816</v>
      </c>
      <c r="AO245" s="11">
        <f t="shared" si="600"/>
        <v>66.942554682779416</v>
      </c>
      <c r="AP245" s="11">
        <f t="shared" si="600"/>
        <v>61.212821789473651</v>
      </c>
      <c r="AQ245" s="11">
        <f t="shared" si="600"/>
        <v>89.310549185365858</v>
      </c>
      <c r="AR245" s="11">
        <f t="shared" si="600"/>
        <v>121.10057228915662</v>
      </c>
      <c r="AS245" s="11">
        <f t="shared" si="600"/>
        <v>112.0017612461059</v>
      </c>
      <c r="AT245" s="11">
        <f t="shared" si="600"/>
        <v>168.93428040284357</v>
      </c>
      <c r="AU245" s="11">
        <f t="shared" si="600"/>
        <v>182.31735920685298</v>
      </c>
      <c r="AV245" s="11">
        <f t="shared" si="600"/>
        <v>198.01502591935792</v>
      </c>
      <c r="AW245" s="11">
        <f t="shared" si="600"/>
        <v>213.80853624057306</v>
      </c>
      <c r="AX245" s="11">
        <f t="shared" si="600"/>
        <v>213.24687506607927</v>
      </c>
      <c r="AY245" s="11">
        <f t="shared" si="600"/>
        <v>209.66889090119764</v>
      </c>
      <c r="AZ245" s="11">
        <f t="shared" si="600"/>
        <v>236.3150169370424</v>
      </c>
      <c r="BA245" s="11">
        <f t="shared" si="600"/>
        <v>262.96443240380671</v>
      </c>
      <c r="BB245" s="11">
        <f t="shared" si="600"/>
        <v>282.02094121192044</v>
      </c>
      <c r="BC245" s="11">
        <f t="shared" si="600"/>
        <v>177.41055429607763</v>
      </c>
      <c r="BD245" s="11">
        <f t="shared" si="600"/>
        <v>45.519365938837041</v>
      </c>
      <c r="BE245" s="11">
        <f t="shared" si="600"/>
        <v>230.12397626011614</v>
      </c>
      <c r="BF245" s="11">
        <f t="shared" si="600"/>
        <v>339.13411574736836</v>
      </c>
      <c r="BG245" s="11">
        <f t="shared" si="600"/>
        <v>342.0763124966852</v>
      </c>
      <c r="BH245" s="11">
        <f t="shared" si="600"/>
        <v>418.19447834804475</v>
      </c>
      <c r="BI245" s="11">
        <f t="shared" si="600"/>
        <v>436.31914395348838</v>
      </c>
      <c r="BJ245" s="11">
        <f t="shared" si="600"/>
        <v>483.62692764812562</v>
      </c>
      <c r="BK245" s="11">
        <f t="shared" si="600"/>
        <v>530.96916670221344</v>
      </c>
      <c r="BL245" s="11">
        <f t="shared" si="600"/>
        <v>406.19782095223411</v>
      </c>
      <c r="BM245" s="11">
        <f t="shared" si="600"/>
        <v>302.38765757203896</v>
      </c>
      <c r="BN245" s="11">
        <f t="shared" si="600"/>
        <v>314.37772573242069</v>
      </c>
      <c r="BO245" s="11">
        <f t="shared" si="600"/>
        <v>319.38008693968641</v>
      </c>
      <c r="BP245" s="11">
        <f t="shared" si="600"/>
        <v>287.15632046379721</v>
      </c>
      <c r="BQ245" s="11">
        <f>BQ235-BQ249</f>
        <v>293.95112947815096</v>
      </c>
      <c r="BR245" s="11">
        <f>BR235-BR249</f>
        <v>298.44308249999995</v>
      </c>
      <c r="BS245" s="11"/>
      <c r="BT245" s="11"/>
      <c r="BU245" s="11"/>
      <c r="BV245" s="11"/>
      <c r="BW245" s="11"/>
      <c r="BX245" s="11"/>
      <c r="BY245" s="11"/>
    </row>
    <row r="246" spans="2:84">
      <c r="B246" s="3"/>
      <c r="Z246" s="3"/>
      <c r="AA246" s="3"/>
      <c r="AC246" s="7"/>
      <c r="AD246" s="7"/>
      <c r="AE246" s="7"/>
      <c r="AF246" s="11"/>
      <c r="AG246" s="11"/>
      <c r="AH246" s="11"/>
      <c r="AI246" s="11"/>
      <c r="AJ246" s="11"/>
      <c r="AK246" s="11"/>
      <c r="AL246" s="11" t="s">
        <v>38</v>
      </c>
      <c r="AM246" s="11"/>
      <c r="AN246" s="11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7"/>
      <c r="BI246" s="57"/>
      <c r="BJ246" s="57"/>
      <c r="BK246" s="57"/>
    </row>
    <row r="247" spans="2:84">
      <c r="B247" s="3" t="s">
        <v>1744</v>
      </c>
      <c r="Z247" s="3"/>
      <c r="AA247" s="3"/>
      <c r="AC247" s="7"/>
      <c r="AD247" s="7"/>
      <c r="AE247" s="7"/>
      <c r="AF247" s="11"/>
      <c r="AG247" s="7">
        <v>48.314</v>
      </c>
      <c r="AH247" s="7">
        <v>53.145000000000003</v>
      </c>
      <c r="AI247" s="7">
        <v>63.103000000000002</v>
      </c>
      <c r="AJ247" s="7">
        <v>64.495999999999995</v>
      </c>
      <c r="AK247" s="7">
        <v>72.802999999999997</v>
      </c>
      <c r="AL247" s="7">
        <v>87.238</v>
      </c>
      <c r="AM247" s="7">
        <v>102.61</v>
      </c>
      <c r="AN247" s="7">
        <v>108.602</v>
      </c>
      <c r="AO247" s="7">
        <v>116.325</v>
      </c>
      <c r="AP247" s="7">
        <v>125.998</v>
      </c>
      <c r="AQ247" s="7">
        <v>136.80199999999999</v>
      </c>
      <c r="AR247" s="7">
        <v>139.72999999999999</v>
      </c>
      <c r="AS247" s="7">
        <v>155.06</v>
      </c>
      <c r="AT247" s="7">
        <v>164.58500000000001</v>
      </c>
      <c r="AU247" s="7">
        <v>129.327</v>
      </c>
      <c r="AV247" s="7">
        <v>123.899</v>
      </c>
      <c r="AW247" s="7">
        <v>129.995</v>
      </c>
      <c r="AX247" s="7">
        <v>138.58799999999999</v>
      </c>
      <c r="AY247" s="7">
        <v>131.14099999999999</v>
      </c>
      <c r="AZ247" s="7">
        <v>139.928</v>
      </c>
      <c r="BA247" s="7">
        <v>141.846</v>
      </c>
      <c r="BB247" s="7">
        <f>268.257-116.1</f>
        <v>152.15700000000001</v>
      </c>
      <c r="BC247" s="7">
        <v>150.95599999999999</v>
      </c>
      <c r="BD247" s="7">
        <v>136.88499999999999</v>
      </c>
      <c r="BE247" s="7">
        <v>145.76400000000001</v>
      </c>
      <c r="BF247" s="7">
        <v>151.37200000000001</v>
      </c>
      <c r="BG247" s="7">
        <v>143.01300000000001</v>
      </c>
      <c r="BH247" s="7">
        <v>146.88900000000001</v>
      </c>
      <c r="BI247" s="7">
        <v>143.55000000000001</v>
      </c>
      <c r="BJ247" s="7">
        <v>152.91499999999999</v>
      </c>
      <c r="BK247" s="7">
        <v>150.84</v>
      </c>
      <c r="BL247" s="7">
        <v>159.518</v>
      </c>
      <c r="BM247" s="7">
        <v>154.399</v>
      </c>
      <c r="BN247" s="7">
        <v>163.857</v>
      </c>
      <c r="BO247" s="7">
        <v>158.29400000000001</v>
      </c>
      <c r="BP247" s="7">
        <v>165.13399999999999</v>
      </c>
      <c r="BQ247" s="7">
        <v>160.61500000000001</v>
      </c>
      <c r="BR247" s="7">
        <v>166.24100000000001</v>
      </c>
      <c r="BS247" s="7"/>
      <c r="BT247" s="7"/>
      <c r="BU247" s="7"/>
      <c r="BV247" s="7"/>
      <c r="BW247" s="7"/>
      <c r="BX247" s="7"/>
      <c r="BY247" s="7"/>
    </row>
    <row r="248" spans="2:84">
      <c r="B248" s="3" t="s">
        <v>1712</v>
      </c>
      <c r="Z248" s="3"/>
      <c r="AA248" s="3"/>
      <c r="AC248" s="7"/>
      <c r="AD248" s="7"/>
      <c r="AE248" s="7"/>
      <c r="AF248" s="11"/>
      <c r="AG248" s="404">
        <v>3.41</v>
      </c>
      <c r="AH248" s="380">
        <f>AG248</f>
        <v>3.41</v>
      </c>
      <c r="AI248" s="380">
        <f>AH248</f>
        <v>3.41</v>
      </c>
      <c r="AJ248" s="380">
        <f>AI248</f>
        <v>3.41</v>
      </c>
      <c r="AK248" s="380">
        <f>AJ248</f>
        <v>3.41</v>
      </c>
      <c r="AL248" s="380">
        <f>AK248</f>
        <v>3.41</v>
      </c>
      <c r="AM248" s="404">
        <v>3.323</v>
      </c>
      <c r="AN248" s="404">
        <v>3.2869999999999999</v>
      </c>
      <c r="AO248" s="404">
        <v>3.3919999999999999</v>
      </c>
      <c r="AP248" s="404">
        <v>3.3530000000000002</v>
      </c>
      <c r="AQ248" s="404">
        <v>3.2387000000000001</v>
      </c>
      <c r="AR248" s="404">
        <v>3.25</v>
      </c>
      <c r="AS248" s="404">
        <v>3.2639999999999998</v>
      </c>
      <c r="AT248" s="404">
        <v>3.2410000000000001</v>
      </c>
      <c r="AU248" s="404">
        <v>3.2229999999999999</v>
      </c>
      <c r="AV248" s="404">
        <v>3.26</v>
      </c>
      <c r="AW248" s="404">
        <v>3.2985000000000002</v>
      </c>
      <c r="AX248" s="404">
        <v>3.36</v>
      </c>
      <c r="AY248" s="404">
        <v>3.3184999999999998</v>
      </c>
      <c r="AZ248" s="404">
        <v>3.2930000000000001</v>
      </c>
      <c r="BA248" s="404">
        <v>3.3748999999999998</v>
      </c>
      <c r="BB248" s="404">
        <v>3.3109999999999999</v>
      </c>
      <c r="BC248" s="404">
        <v>3.4346000000000001</v>
      </c>
      <c r="BD248" s="404">
        <v>3.5398999999999998</v>
      </c>
      <c r="BE248" s="404">
        <v>3.5979999999999999</v>
      </c>
      <c r="BF248" s="404">
        <v>3.6206</v>
      </c>
      <c r="BG248" s="404">
        <v>3.7477</v>
      </c>
      <c r="BH248" s="404">
        <v>3.8647</v>
      </c>
      <c r="BI248" s="404">
        <v>4.1353999999999997</v>
      </c>
      <c r="BJ248" s="404">
        <v>3.9870000000000001</v>
      </c>
      <c r="BK248" s="404">
        <v>3.6739999999999999</v>
      </c>
      <c r="BL248" s="404">
        <v>3.8239999999999998</v>
      </c>
      <c r="BM248" s="404">
        <v>3.9980000000000002</v>
      </c>
      <c r="BN248" s="404">
        <v>3.8142999999999998</v>
      </c>
      <c r="BO248" s="404">
        <v>3.8157015384615391</v>
      </c>
      <c r="BP248" s="404">
        <v>3.6987538461538465</v>
      </c>
      <c r="BQ248" s="404">
        <v>3.68</v>
      </c>
      <c r="BR248" s="404">
        <v>3.78</v>
      </c>
      <c r="BS248" s="404"/>
      <c r="BT248" s="404"/>
      <c r="BU248" s="404"/>
      <c r="BV248" s="404"/>
      <c r="BW248" s="527"/>
      <c r="BX248" s="527"/>
      <c r="BY248" s="527"/>
      <c r="CC248" s="5"/>
      <c r="CD248" s="5"/>
      <c r="CE248" s="5"/>
      <c r="CF248" s="5"/>
    </row>
    <row r="249" spans="2:84">
      <c r="B249" s="3" t="s">
        <v>1643</v>
      </c>
      <c r="Z249" s="3"/>
      <c r="AA249" s="3"/>
      <c r="AC249" s="7"/>
      <c r="AD249" s="7"/>
      <c r="AE249" s="7"/>
      <c r="AF249" s="11"/>
      <c r="AG249" s="11">
        <f>AG247*AG248</f>
        <v>164.75074000000001</v>
      </c>
      <c r="AH249" s="11">
        <f t="shared" ref="AH249:BM249" si="601">AH247*AH248</f>
        <v>181.22445000000002</v>
      </c>
      <c r="AI249" s="11">
        <f t="shared" si="601"/>
        <v>215.18123000000003</v>
      </c>
      <c r="AJ249" s="11">
        <f t="shared" si="601"/>
        <v>219.93135999999998</v>
      </c>
      <c r="AK249" s="11">
        <f t="shared" si="601"/>
        <v>248.25823</v>
      </c>
      <c r="AL249" s="11">
        <f t="shared" si="601"/>
        <v>297.48158000000001</v>
      </c>
      <c r="AM249" s="11">
        <f t="shared" si="601"/>
        <v>340.97302999999999</v>
      </c>
      <c r="AN249" s="11">
        <f t="shared" si="601"/>
        <v>356.97477400000002</v>
      </c>
      <c r="AO249" s="11">
        <f t="shared" si="601"/>
        <v>394.57440000000003</v>
      </c>
      <c r="AP249" s="11">
        <f t="shared" si="601"/>
        <v>422.47129400000006</v>
      </c>
      <c r="AQ249" s="11">
        <f t="shared" si="601"/>
        <v>443.06063740000002</v>
      </c>
      <c r="AR249" s="11">
        <f t="shared" si="601"/>
        <v>454.12249999999995</v>
      </c>
      <c r="AS249" s="11">
        <f t="shared" si="601"/>
        <v>506.11583999999999</v>
      </c>
      <c r="AT249" s="11">
        <f t="shared" si="601"/>
        <v>533.419985</v>
      </c>
      <c r="AU249" s="11">
        <f t="shared" si="601"/>
        <v>416.820921</v>
      </c>
      <c r="AV249" s="11">
        <f t="shared" si="601"/>
        <v>403.91073999999998</v>
      </c>
      <c r="AW249" s="11">
        <f t="shared" si="601"/>
        <v>428.78850750000004</v>
      </c>
      <c r="AX249" s="11">
        <f t="shared" si="601"/>
        <v>465.65567999999996</v>
      </c>
      <c r="AY249" s="11">
        <f t="shared" si="601"/>
        <v>435.19140849999997</v>
      </c>
      <c r="AZ249" s="11">
        <f t="shared" si="601"/>
        <v>460.78290400000003</v>
      </c>
      <c r="BA249" s="11">
        <f t="shared" si="601"/>
        <v>478.71606539999999</v>
      </c>
      <c r="BB249" s="11">
        <f t="shared" si="601"/>
        <v>503.79182700000001</v>
      </c>
      <c r="BC249" s="11">
        <f t="shared" si="601"/>
        <v>518.47347760000002</v>
      </c>
      <c r="BD249" s="11">
        <f t="shared" si="601"/>
        <v>484.55921149999995</v>
      </c>
      <c r="BE249" s="11">
        <f t="shared" si="601"/>
        <v>524.45887200000004</v>
      </c>
      <c r="BF249" s="11">
        <f t="shared" si="601"/>
        <v>548.05746320000003</v>
      </c>
      <c r="BG249" s="11">
        <f t="shared" si="601"/>
        <v>535.96982009999999</v>
      </c>
      <c r="BH249" s="11">
        <f t="shared" si="601"/>
        <v>567.68191830000001</v>
      </c>
      <c r="BI249" s="11">
        <f t="shared" si="601"/>
        <v>593.63666999999998</v>
      </c>
      <c r="BJ249" s="11">
        <f t="shared" si="601"/>
        <v>609.67210499999999</v>
      </c>
      <c r="BK249" s="11">
        <f t="shared" si="601"/>
        <v>554.18615999999997</v>
      </c>
      <c r="BL249" s="11">
        <f t="shared" si="601"/>
        <v>609.99683199999993</v>
      </c>
      <c r="BM249" s="11">
        <f t="shared" si="601"/>
        <v>617.28720200000009</v>
      </c>
      <c r="BN249" s="11">
        <f t="shared" ref="BN249:BP249" si="602">BN247*BN248</f>
        <v>624.99975510000002</v>
      </c>
      <c r="BO249" s="11">
        <f t="shared" si="602"/>
        <v>604.00265932923094</v>
      </c>
      <c r="BP249" s="11">
        <f t="shared" si="602"/>
        <v>610.79001763076928</v>
      </c>
      <c r="BQ249" s="11">
        <f t="shared" ref="BQ249:BR249" si="603">BQ247*BQ248</f>
        <v>591.06320000000005</v>
      </c>
      <c r="BR249" s="11">
        <f t="shared" si="603"/>
        <v>628.39098000000001</v>
      </c>
      <c r="BS249" s="11"/>
      <c r="BT249" s="11"/>
      <c r="BU249" s="11"/>
      <c r="BV249" s="11"/>
      <c r="BW249" s="7"/>
      <c r="BX249" s="7"/>
      <c r="BY249" s="7"/>
      <c r="CC249" s="5"/>
      <c r="CD249" s="5"/>
      <c r="CE249" s="5"/>
      <c r="CF249" s="5"/>
    </row>
    <row r="250" spans="2:84">
      <c r="B250" s="3" t="s">
        <v>1715</v>
      </c>
      <c r="Z250" s="3"/>
      <c r="AA250" s="3"/>
      <c r="AC250" s="7"/>
      <c r="AD250" s="7"/>
      <c r="AE250" s="7"/>
      <c r="AF250" s="11"/>
      <c r="AG250" s="11"/>
      <c r="AH250" s="11">
        <f>AH249-AG249</f>
        <v>16.473710000000011</v>
      </c>
      <c r="AI250" s="11">
        <f t="shared" ref="AI250:BR250" si="604">AI249-AH249</f>
        <v>33.956780000000009</v>
      </c>
      <c r="AJ250" s="11">
        <f t="shared" si="604"/>
        <v>4.750129999999956</v>
      </c>
      <c r="AK250" s="11">
        <f t="shared" si="604"/>
        <v>28.326870000000014</v>
      </c>
      <c r="AL250" s="11">
        <f t="shared" si="604"/>
        <v>49.223350000000011</v>
      </c>
      <c r="AM250" s="11">
        <f t="shared" si="604"/>
        <v>43.491449999999986</v>
      </c>
      <c r="AN250" s="11">
        <f t="shared" si="604"/>
        <v>16.001744000000031</v>
      </c>
      <c r="AO250" s="11">
        <f t="shared" si="604"/>
        <v>37.599626000000001</v>
      </c>
      <c r="AP250" s="11">
        <f t="shared" si="604"/>
        <v>27.896894000000032</v>
      </c>
      <c r="AQ250" s="11">
        <f t="shared" si="604"/>
        <v>20.589343399999962</v>
      </c>
      <c r="AR250" s="11">
        <f t="shared" si="604"/>
        <v>11.061862599999927</v>
      </c>
      <c r="AS250" s="11">
        <f t="shared" si="604"/>
        <v>51.993340000000046</v>
      </c>
      <c r="AT250" s="11">
        <f t="shared" si="604"/>
        <v>27.304145000000005</v>
      </c>
      <c r="AU250" s="11">
        <f t="shared" si="604"/>
        <v>-116.599064</v>
      </c>
      <c r="AV250" s="11">
        <f t="shared" si="604"/>
        <v>-12.910181000000023</v>
      </c>
      <c r="AW250" s="11">
        <f t="shared" si="604"/>
        <v>24.877767500000061</v>
      </c>
      <c r="AX250" s="11">
        <f t="shared" si="604"/>
        <v>36.867172499999924</v>
      </c>
      <c r="AY250" s="11">
        <f t="shared" si="604"/>
        <v>-30.464271499999995</v>
      </c>
      <c r="AZ250" s="11">
        <f t="shared" si="604"/>
        <v>25.591495500000065</v>
      </c>
      <c r="BA250" s="11">
        <f t="shared" si="604"/>
        <v>17.93316139999996</v>
      </c>
      <c r="BB250" s="11">
        <f t="shared" si="604"/>
        <v>25.075761600000021</v>
      </c>
      <c r="BC250" s="11">
        <f t="shared" si="604"/>
        <v>14.681650600000012</v>
      </c>
      <c r="BD250" s="11">
        <f t="shared" si="604"/>
        <v>-33.914266100000077</v>
      </c>
      <c r="BE250" s="11">
        <f t="shared" si="604"/>
        <v>39.899660500000095</v>
      </c>
      <c r="BF250" s="11">
        <f t="shared" si="604"/>
        <v>23.598591199999987</v>
      </c>
      <c r="BG250" s="11">
        <f t="shared" si="604"/>
        <v>-12.087643100000037</v>
      </c>
      <c r="BH250" s="11">
        <f t="shared" si="604"/>
        <v>31.712098200000014</v>
      </c>
      <c r="BI250" s="11">
        <f t="shared" si="604"/>
        <v>25.954751699999974</v>
      </c>
      <c r="BJ250" s="11">
        <f t="shared" si="604"/>
        <v>16.035435000000007</v>
      </c>
      <c r="BK250" s="11">
        <f t="shared" si="604"/>
        <v>-55.485945000000015</v>
      </c>
      <c r="BL250" s="11">
        <f t="shared" si="604"/>
        <v>55.810671999999954</v>
      </c>
      <c r="BM250" s="11">
        <f t="shared" si="604"/>
        <v>7.2903700000001663</v>
      </c>
      <c r="BN250" s="11">
        <f t="shared" si="604"/>
        <v>7.7125530999999228</v>
      </c>
      <c r="BO250" s="11">
        <f t="shared" si="604"/>
        <v>-20.997095770769079</v>
      </c>
      <c r="BP250" s="11">
        <f t="shared" si="604"/>
        <v>6.7873583015383474</v>
      </c>
      <c r="BQ250" s="11">
        <f t="shared" si="604"/>
        <v>-19.726817630769233</v>
      </c>
      <c r="BR250" s="11">
        <f t="shared" si="604"/>
        <v>37.327779999999962</v>
      </c>
      <c r="BS250" s="11"/>
      <c r="BT250" s="11"/>
      <c r="BU250" s="11"/>
      <c r="BV250" s="11"/>
      <c r="BW250" s="11"/>
      <c r="BX250" s="11"/>
      <c r="BY250" s="11"/>
      <c r="CC250" s="5"/>
      <c r="CD250" s="5"/>
      <c r="CE250" s="5"/>
      <c r="CF250" s="5"/>
    </row>
    <row r="251" spans="2:84">
      <c r="B251" s="3" t="s">
        <v>1354</v>
      </c>
      <c r="Z251" s="3"/>
      <c r="AA251" s="3"/>
      <c r="AC251" s="7"/>
      <c r="AD251" s="7"/>
      <c r="AE251" s="7"/>
      <c r="AF251" s="11"/>
      <c r="AG251" s="11"/>
      <c r="AH251" s="11"/>
      <c r="AI251" s="11"/>
      <c r="AJ251" s="11"/>
      <c r="AK251" s="5">
        <f t="shared" ref="AK251:AO251" si="605">AK249/AG249-1</f>
        <v>0.50687171420292243</v>
      </c>
      <c r="AL251" s="5">
        <f t="shared" si="605"/>
        <v>0.6415090789349891</v>
      </c>
      <c r="AM251" s="5">
        <f t="shared" si="605"/>
        <v>0.58458537484891204</v>
      </c>
      <c r="AN251" s="5">
        <f t="shared" si="605"/>
        <v>0.62311902222584381</v>
      </c>
      <c r="AO251" s="5">
        <f t="shared" si="605"/>
        <v>0.58937087402903021</v>
      </c>
      <c r="AP251" s="5">
        <f t="shared" ref="AP251:BR251" si="606">AP249/AL249-1</f>
        <v>0.4201595070188886</v>
      </c>
      <c r="AQ251" s="5">
        <f t="shared" si="606"/>
        <v>0.2994008276842306</v>
      </c>
      <c r="AR251" s="5">
        <f t="shared" si="606"/>
        <v>0.27214171161573431</v>
      </c>
      <c r="AS251" s="5">
        <f t="shared" si="606"/>
        <v>0.28268797975742976</v>
      </c>
      <c r="AT251" s="5">
        <f t="shared" si="606"/>
        <v>0.26261829519711677</v>
      </c>
      <c r="AU251" s="5">
        <f t="shared" si="606"/>
        <v>-5.9223758973448448E-2</v>
      </c>
      <c r="AV251" s="5">
        <f t="shared" si="606"/>
        <v>-0.11056875622766982</v>
      </c>
      <c r="AW251" s="5">
        <f t="shared" si="606"/>
        <v>-0.15278583752683961</v>
      </c>
      <c r="AX251" s="5">
        <f t="shared" si="606"/>
        <v>-0.12703743186524974</v>
      </c>
      <c r="AY251" s="5">
        <f t="shared" si="606"/>
        <v>4.407285377117609E-2</v>
      </c>
      <c r="AZ251" s="5">
        <f t="shared" si="606"/>
        <v>0.14080379244186481</v>
      </c>
      <c r="BA251" s="5">
        <f t="shared" si="606"/>
        <v>0.11643865688261235</v>
      </c>
      <c r="BB251" s="5">
        <f t="shared" si="606"/>
        <v>8.1897738260166886E-2</v>
      </c>
      <c r="BC251" s="5">
        <f t="shared" si="606"/>
        <v>0.19136882639079045</v>
      </c>
      <c r="BD251" s="5">
        <f t="shared" si="606"/>
        <v>5.1599803928489285E-2</v>
      </c>
      <c r="BE251" s="5">
        <f t="shared" si="606"/>
        <v>9.555310528753358E-2</v>
      </c>
      <c r="BF251" s="5">
        <f t="shared" si="606"/>
        <v>8.7864935133217248E-2</v>
      </c>
      <c r="BG251" s="5">
        <f t="shared" si="606"/>
        <v>3.3745877573121197E-2</v>
      </c>
      <c r="BH251" s="5">
        <f t="shared" si="606"/>
        <v>0.17154292979527863</v>
      </c>
      <c r="BI251" s="5">
        <f t="shared" si="606"/>
        <v>0.13190318954123814</v>
      </c>
      <c r="BJ251" s="5">
        <f t="shared" si="606"/>
        <v>0.1124236890056094</v>
      </c>
      <c r="BK251" s="5">
        <f t="shared" si="606"/>
        <v>3.3987622468371947E-2</v>
      </c>
      <c r="BL251" s="5">
        <f t="shared" si="606"/>
        <v>7.4539830027910092E-2</v>
      </c>
      <c r="BM251" s="5">
        <f t="shared" si="606"/>
        <v>3.9840079286207253E-2</v>
      </c>
      <c r="BN251" s="5">
        <f t="shared" si="606"/>
        <v>2.5140809255165264E-2</v>
      </c>
      <c r="BO251" s="5">
        <f t="shared" si="606"/>
        <v>8.9891272869807803E-2</v>
      </c>
      <c r="BP251" s="5">
        <f t="shared" si="606"/>
        <v>1.3003110658276196E-3</v>
      </c>
      <c r="BQ251" s="5">
        <f t="shared" si="606"/>
        <v>-4.2482659473636719E-2</v>
      </c>
      <c r="BR251" s="5">
        <f t="shared" si="606"/>
        <v>5.4259619661090053E-3</v>
      </c>
      <c r="BS251" s="5"/>
      <c r="BT251" s="5"/>
      <c r="BU251" s="5"/>
      <c r="BV251" s="5"/>
      <c r="BW251" s="5"/>
      <c r="BX251" s="5"/>
      <c r="BY251" s="5"/>
      <c r="CC251" s="5"/>
      <c r="CD251" s="5"/>
      <c r="CE251" s="5"/>
      <c r="CF251" s="5"/>
    </row>
    <row r="252" spans="2:84">
      <c r="B252" s="3" t="s">
        <v>3035</v>
      </c>
      <c r="Z252" s="3"/>
      <c r="AA252" s="3"/>
      <c r="AC252" s="7"/>
      <c r="AD252" s="7"/>
      <c r="AE252" s="7"/>
      <c r="AF252" s="11"/>
      <c r="AG252" s="11"/>
      <c r="AH252" s="11"/>
      <c r="AI252" s="11"/>
      <c r="AJ252" s="11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398">
        <v>0.14000000000000001</v>
      </c>
      <c r="BL252" s="398">
        <v>0.09</v>
      </c>
      <c r="BM252" s="398">
        <v>8.6999999999999994E-2</v>
      </c>
      <c r="BN252" s="398">
        <v>0.08</v>
      </c>
      <c r="BO252" s="641">
        <v>4.9000000000000002E-2</v>
      </c>
      <c r="BP252" s="641">
        <v>3.5000000000000003E-2</v>
      </c>
      <c r="BQ252" s="641">
        <v>0.04</v>
      </c>
      <c r="BR252" s="641">
        <v>1.4999999999999999E-2</v>
      </c>
      <c r="BS252" s="641"/>
      <c r="BT252" s="641"/>
      <c r="BU252" s="641"/>
      <c r="BV252" s="641"/>
      <c r="BW252" s="5" t="s">
        <v>1254</v>
      </c>
      <c r="BX252" s="5"/>
      <c r="BY252" s="5"/>
      <c r="CC252" s="5"/>
      <c r="CD252" s="5"/>
      <c r="CE252" s="5"/>
      <c r="CF252" s="5"/>
    </row>
    <row r="253" spans="2:84">
      <c r="B253" s="3"/>
      <c r="Z253" s="3"/>
      <c r="AA253" s="3"/>
      <c r="AC253" s="7"/>
      <c r="AD253" s="7"/>
      <c r="AE253" s="7"/>
      <c r="AF253" s="11"/>
      <c r="AG253" s="11"/>
      <c r="AH253" s="11"/>
      <c r="AI253" s="11"/>
      <c r="AJ253" s="11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>
        <f>BK252-BK251</f>
        <v>0.10601237753162807</v>
      </c>
      <c r="BL253" s="5">
        <f t="shared" ref="BL253:BN253" si="607">BL252-BL251</f>
        <v>1.5460169972089904E-2</v>
      </c>
      <c r="BM253" s="5">
        <f t="shared" si="607"/>
        <v>4.7159920713792741E-2</v>
      </c>
      <c r="BN253" s="5">
        <f t="shared" si="607"/>
        <v>5.4859190744834738E-2</v>
      </c>
      <c r="BO253" s="5">
        <f t="shared" ref="BO253:BP253" si="608">BO252-BO251</f>
        <v>-4.0891272869807802E-2</v>
      </c>
      <c r="BP253" s="5">
        <f t="shared" si="608"/>
        <v>3.3699688934172384E-2</v>
      </c>
      <c r="BQ253" s="5">
        <f t="shared" ref="BQ253:BR253" si="609">BQ252-BQ251</f>
        <v>8.2482659473636727E-2</v>
      </c>
      <c r="BR253" s="5">
        <f t="shared" si="609"/>
        <v>9.5740380338909942E-3</v>
      </c>
      <c r="BS253" s="5"/>
      <c r="BT253" s="5"/>
      <c r="BU253" s="5"/>
      <c r="BV253" s="5"/>
      <c r="BW253" s="5"/>
      <c r="BX253" s="5"/>
      <c r="BY253" s="5"/>
      <c r="CC253" s="5"/>
      <c r="CD253" s="5"/>
      <c r="CE253" s="5"/>
      <c r="CF253" s="5"/>
    </row>
    <row r="254" spans="2:84">
      <c r="B254" s="3" t="s">
        <v>1799</v>
      </c>
      <c r="Z254" s="3"/>
      <c r="AA254" s="3"/>
      <c r="AC254" s="7"/>
      <c r="AD254" s="7"/>
      <c r="AE254" s="7"/>
      <c r="AF254" s="11"/>
      <c r="AG254" s="11"/>
      <c r="AH254" s="11"/>
      <c r="AI254" s="11"/>
      <c r="AJ254" s="11"/>
      <c r="AK254" s="5"/>
      <c r="AL254" s="5">
        <f t="shared" ref="AL254:AO254" si="610">AL249/AK249-1</f>
        <v>0.1982747963682816</v>
      </c>
      <c r="AM254" s="5">
        <f t="shared" si="610"/>
        <v>0.14619879993914231</v>
      </c>
      <c r="AN254" s="5">
        <f t="shared" si="610"/>
        <v>4.6929647192330837E-2</v>
      </c>
      <c r="AO254" s="5">
        <f t="shared" si="610"/>
        <v>0.10532852385810321</v>
      </c>
      <c r="AP254" s="5">
        <f t="shared" ref="AP254:BJ254" si="611">AP249/AO249-1</f>
        <v>7.0701226435369469E-2</v>
      </c>
      <c r="AQ254" s="5">
        <f t="shared" si="611"/>
        <v>4.8735484972382448E-2</v>
      </c>
      <c r="AR254" s="5">
        <f t="shared" si="611"/>
        <v>2.4966927021353058E-2</v>
      </c>
      <c r="AS254" s="5">
        <f t="shared" si="611"/>
        <v>0.11449188269684951</v>
      </c>
      <c r="AT254" s="5">
        <f t="shared" si="611"/>
        <v>5.3948410308596539E-2</v>
      </c>
      <c r="AU254" s="5">
        <f t="shared" si="611"/>
        <v>-0.21858773064155068</v>
      </c>
      <c r="AV254" s="5">
        <f t="shared" si="611"/>
        <v>-3.0972967885170122E-2</v>
      </c>
      <c r="AW254" s="5">
        <f t="shared" si="611"/>
        <v>6.1592240651981767E-2</v>
      </c>
      <c r="AX254" s="5">
        <f t="shared" si="611"/>
        <v>8.5979852200213092E-2</v>
      </c>
      <c r="AY254" s="5">
        <f t="shared" si="611"/>
        <v>-6.5422312683912742E-2</v>
      </c>
      <c r="AZ254" s="5">
        <f t="shared" si="611"/>
        <v>5.8805148723426681E-2</v>
      </c>
      <c r="BA254" s="5">
        <f t="shared" si="611"/>
        <v>3.8918894872887799E-2</v>
      </c>
      <c r="BB254" s="5">
        <f t="shared" si="611"/>
        <v>5.2381282794525585E-2</v>
      </c>
      <c r="BC254" s="5">
        <f t="shared" si="611"/>
        <v>2.9142296109539778E-2</v>
      </c>
      <c r="BD254" s="5">
        <f t="shared" si="611"/>
        <v>-6.541176659023773E-2</v>
      </c>
      <c r="BE254" s="5">
        <f t="shared" si="611"/>
        <v>8.2342177288275753E-2</v>
      </c>
      <c r="BF254" s="5">
        <f t="shared" si="611"/>
        <v>4.4996075879139674E-2</v>
      </c>
      <c r="BG254" s="5">
        <f t="shared" si="611"/>
        <v>-2.2055430154025557E-2</v>
      </c>
      <c r="BH254" s="5">
        <f t="shared" si="611"/>
        <v>5.9167693796794874E-2</v>
      </c>
      <c r="BI254" s="5">
        <f t="shared" si="611"/>
        <v>4.5720589054033978E-2</v>
      </c>
      <c r="BJ254" s="5">
        <f t="shared" si="611"/>
        <v>2.7012204283135111E-2</v>
      </c>
      <c r="BK254" s="5">
        <f t="shared" ref="BK254" si="612">BK249/BJ249-1</f>
        <v>-9.1009486156497177E-2</v>
      </c>
      <c r="BL254" s="5">
        <f t="shared" ref="BL254" si="613">BL249/BK249-1</f>
        <v>0.10070744458865577</v>
      </c>
      <c r="BM254" s="5">
        <f t="shared" ref="BM254" si="614">BM249/BL249-1</f>
        <v>1.1951488298877155E-2</v>
      </c>
      <c r="BN254" s="5">
        <f t="shared" ref="BN254:BR254" si="615">BN249/BM249-1</f>
        <v>1.2494270211680147E-2</v>
      </c>
      <c r="BO254" s="5">
        <f t="shared" si="615"/>
        <v>-3.3595366397238924E-2</v>
      </c>
      <c r="BP254" s="5">
        <f t="shared" si="615"/>
        <v>1.1237298705068621E-2</v>
      </c>
      <c r="BQ254" s="5">
        <f t="shared" si="615"/>
        <v>-3.2297216819765273E-2</v>
      </c>
      <c r="BR254" s="5">
        <f t="shared" si="615"/>
        <v>6.3153618766994768E-2</v>
      </c>
      <c r="BS254" s="5"/>
      <c r="BT254" s="5"/>
      <c r="BU254" s="5"/>
      <c r="BV254" s="5"/>
      <c r="CC254" s="5"/>
      <c r="CD254" s="5"/>
      <c r="CE254" s="5"/>
      <c r="CF254" s="5"/>
    </row>
    <row r="255" spans="2:84">
      <c r="B255" s="3" t="s">
        <v>1714</v>
      </c>
      <c r="Z255" s="3"/>
      <c r="AA255" s="3"/>
      <c r="AC255" s="7"/>
      <c r="AD255" s="7"/>
      <c r="AE255" s="7"/>
      <c r="AF255" s="11"/>
      <c r="AG255" s="11">
        <f t="shared" ref="AG255:AM255" si="616">AG235-AG249</f>
        <v>16.363516055363306</v>
      </c>
      <c r="AH255" s="11">
        <f t="shared" si="616"/>
        <v>34.057055016722416</v>
      </c>
      <c r="AI255" s="11">
        <f t="shared" si="616"/>
        <v>25.234977648003706</v>
      </c>
      <c r="AJ255" s="11">
        <f t="shared" si="616"/>
        <v>39.052588220064763</v>
      </c>
      <c r="AK255" s="11">
        <f t="shared" si="616"/>
        <v>54.624672062722567</v>
      </c>
      <c r="AL255" s="11">
        <f t="shared" si="616"/>
        <v>53.060272814675841</v>
      </c>
      <c r="AM255" s="11">
        <f t="shared" si="616"/>
        <v>50.108149265802751</v>
      </c>
      <c r="AN255" s="11">
        <f t="shared" ref="AN255:AO255" si="617">AN235-AN249</f>
        <v>44.898604138847816</v>
      </c>
      <c r="AO255" s="11">
        <f t="shared" si="617"/>
        <v>66.942554682779416</v>
      </c>
      <c r="AP255" s="11">
        <f t="shared" ref="AP255:BA255" si="618">AP235-AP249</f>
        <v>61.212821789473651</v>
      </c>
      <c r="AQ255" s="11">
        <f t="shared" si="618"/>
        <v>89.310549185365858</v>
      </c>
      <c r="AR255" s="11">
        <f t="shared" si="618"/>
        <v>121.10057228915662</v>
      </c>
      <c r="AS255" s="11">
        <f t="shared" si="618"/>
        <v>112.0017612461059</v>
      </c>
      <c r="AT255" s="11">
        <f t="shared" si="618"/>
        <v>168.93428040284357</v>
      </c>
      <c r="AU255" s="11">
        <f t="shared" si="618"/>
        <v>182.31735920685298</v>
      </c>
      <c r="AV255" s="11">
        <f t="shared" si="618"/>
        <v>198.01502591935792</v>
      </c>
      <c r="AW255" s="11">
        <f t="shared" si="618"/>
        <v>213.80853624057306</v>
      </c>
      <c r="AX255" s="11">
        <f t="shared" si="618"/>
        <v>213.24687506607927</v>
      </c>
      <c r="AY255" s="11">
        <f t="shared" si="618"/>
        <v>209.66889090119764</v>
      </c>
      <c r="AZ255" s="11">
        <f t="shared" si="618"/>
        <v>236.3150169370424</v>
      </c>
      <c r="BA255" s="11">
        <f t="shared" si="618"/>
        <v>262.96443240380671</v>
      </c>
      <c r="BB255" s="11">
        <f t="shared" ref="BB255:BD255" si="619">BB235-BB249</f>
        <v>282.02094121192044</v>
      </c>
      <c r="BC255" s="11">
        <f t="shared" si="619"/>
        <v>177.41055429607763</v>
      </c>
      <c r="BD255" s="11">
        <f t="shared" si="619"/>
        <v>45.519365938837041</v>
      </c>
      <c r="BE255" s="11">
        <f t="shared" ref="BE255:BF255" si="620">BE235-BE249</f>
        <v>230.12397626011614</v>
      </c>
      <c r="BF255" s="11">
        <f t="shared" si="620"/>
        <v>339.13411574736836</v>
      </c>
      <c r="BG255" s="11">
        <f t="shared" ref="BG255:BL255" si="621">BG235-BG249</f>
        <v>342.0763124966852</v>
      </c>
      <c r="BH255" s="11">
        <f t="shared" si="621"/>
        <v>418.19447834804475</v>
      </c>
      <c r="BI255" s="11">
        <f t="shared" si="621"/>
        <v>436.31914395348838</v>
      </c>
      <c r="BJ255" s="11">
        <f t="shared" si="621"/>
        <v>483.62692764812562</v>
      </c>
      <c r="BK255" s="11">
        <f t="shared" si="621"/>
        <v>530.96916670221344</v>
      </c>
      <c r="BL255" s="11">
        <f t="shared" si="621"/>
        <v>406.19782095223411</v>
      </c>
      <c r="BM255" s="11">
        <f t="shared" ref="BM255:BN255" si="622">BM235-BM249</f>
        <v>302.38765757203896</v>
      </c>
      <c r="BN255" s="11">
        <f t="shared" si="622"/>
        <v>314.37772573242069</v>
      </c>
      <c r="BO255" s="11">
        <f t="shared" ref="BO255:BP255" si="623">BO235-BO249</f>
        <v>319.38008693968641</v>
      </c>
      <c r="BP255" s="11">
        <f t="shared" si="623"/>
        <v>287.15632046379721</v>
      </c>
      <c r="BQ255" s="11">
        <f t="shared" ref="BQ255:BR255" si="624">BQ235-BQ249</f>
        <v>293.95112947815096</v>
      </c>
      <c r="BR255" s="11">
        <f t="shared" si="624"/>
        <v>298.44308249999995</v>
      </c>
      <c r="BS255" s="11"/>
      <c r="BT255" s="11"/>
      <c r="BU255" s="11"/>
      <c r="BV255" s="11"/>
      <c r="BW255" s="11"/>
      <c r="BX255" s="11"/>
      <c r="BY255" s="11"/>
      <c r="CC255" s="5"/>
      <c r="CD255" s="5"/>
      <c r="CE255" s="5"/>
      <c r="CF255" s="5"/>
    </row>
    <row r="256" spans="2:84">
      <c r="B256" s="3" t="s">
        <v>1713</v>
      </c>
      <c r="Z256" s="3"/>
      <c r="AA256" s="3"/>
      <c r="AC256" s="7"/>
      <c r="AD256" s="7"/>
      <c r="AE256" s="7"/>
      <c r="AF256" s="11"/>
      <c r="AG256" s="11">
        <f t="shared" ref="AG256:AO256" si="625">AG249/AVERAGE(AF264,AG264)/3*1000</f>
        <v>37.447605409705645</v>
      </c>
      <c r="AH256" s="11">
        <f t="shared" si="625"/>
        <v>37.543909260410203</v>
      </c>
      <c r="AI256" s="11">
        <f t="shared" si="625"/>
        <v>38.792361636920866</v>
      </c>
      <c r="AJ256" s="11">
        <f t="shared" si="625"/>
        <v>37.016133972902466</v>
      </c>
      <c r="AK256" s="11">
        <f t="shared" si="625"/>
        <v>36.414848551521821</v>
      </c>
      <c r="AL256" s="11">
        <f t="shared" si="625"/>
        <v>34.958761384335162</v>
      </c>
      <c r="AM256" s="11">
        <f t="shared" si="625"/>
        <v>33.345365018825483</v>
      </c>
      <c r="AN256" s="11">
        <f t="shared" si="625"/>
        <v>30.212413693876691</v>
      </c>
      <c r="AO256" s="11">
        <f t="shared" si="625"/>
        <v>30.207808911345889</v>
      </c>
      <c r="AP256" s="11">
        <f t="shared" ref="AP256:BR256" si="626">AP249/AVERAGE(AO264,AP264)/3*1000</f>
        <v>30.100195504257066</v>
      </c>
      <c r="AQ256" s="11">
        <f t="shared" si="626"/>
        <v>29.463716535328349</v>
      </c>
      <c r="AR256" s="11">
        <f t="shared" si="626"/>
        <v>27.42037255079552</v>
      </c>
      <c r="AS256" s="11">
        <f t="shared" si="626"/>
        <v>28.005524568393096</v>
      </c>
      <c r="AT256" s="11">
        <f t="shared" si="626"/>
        <v>27.919708199209651</v>
      </c>
      <c r="AU256" s="11">
        <f t="shared" si="626"/>
        <v>20.729624319283847</v>
      </c>
      <c r="AV256" s="11">
        <f t="shared" si="626"/>
        <v>19.181779930664387</v>
      </c>
      <c r="AW256" s="11">
        <f t="shared" si="626"/>
        <v>19.552599521203831</v>
      </c>
      <c r="AX256" s="11">
        <f t="shared" si="626"/>
        <v>20.344525853594597</v>
      </c>
      <c r="AY256" s="11">
        <f t="shared" si="626"/>
        <v>18.377627520533771</v>
      </c>
      <c r="AZ256" s="11">
        <f t="shared" si="626"/>
        <v>19.369985665342501</v>
      </c>
      <c r="BA256" s="11">
        <f t="shared" si="626"/>
        <v>20.169629248562217</v>
      </c>
      <c r="BB256" s="11">
        <f t="shared" si="626"/>
        <v>20.695127118121881</v>
      </c>
      <c r="BC256" s="11">
        <f t="shared" si="626"/>
        <v>20.780916555441994</v>
      </c>
      <c r="BD256" s="11">
        <f t="shared" si="626"/>
        <v>19.769857670338638</v>
      </c>
      <c r="BE256" s="11">
        <f t="shared" si="626"/>
        <v>21.375511890933549</v>
      </c>
      <c r="BF256" s="11">
        <f t="shared" si="626"/>
        <v>21.190792375207828</v>
      </c>
      <c r="BG256" s="11">
        <f t="shared" si="626"/>
        <v>19.789167778023927</v>
      </c>
      <c r="BH256" s="11">
        <f t="shared" si="626"/>
        <v>20.218752655198205</v>
      </c>
      <c r="BI256" s="11">
        <f t="shared" si="626"/>
        <v>20.528985371926549</v>
      </c>
      <c r="BJ256" s="11">
        <f t="shared" si="626"/>
        <v>20.709674411494959</v>
      </c>
      <c r="BK256" s="11">
        <f t="shared" si="626"/>
        <v>18.942649712879412</v>
      </c>
      <c r="BL256" s="11">
        <f t="shared" si="626"/>
        <v>21.001061488673134</v>
      </c>
      <c r="BM256" s="11">
        <f t="shared" si="626"/>
        <v>20.944869774701417</v>
      </c>
      <c r="BN256" s="11">
        <f t="shared" si="626"/>
        <v>20.893917530839435</v>
      </c>
      <c r="BO256" s="11">
        <f t="shared" si="626"/>
        <v>20.291697215925247</v>
      </c>
      <c r="BP256" s="11">
        <f t="shared" si="626"/>
        <v>20.810208263258524</v>
      </c>
      <c r="BQ256" s="11">
        <f t="shared" si="626"/>
        <v>20.235307006282206</v>
      </c>
      <c r="BR256" s="11">
        <f t="shared" si="626"/>
        <v>21.646634630289878</v>
      </c>
      <c r="BS256" s="11"/>
      <c r="BT256" s="11"/>
      <c r="BU256" s="11"/>
      <c r="BV256" s="11"/>
      <c r="CC256" s="5"/>
      <c r="CD256" s="5"/>
      <c r="CE256" s="5"/>
      <c r="CF256" s="5"/>
    </row>
    <row r="257" spans="2:84">
      <c r="B257" s="3" t="s">
        <v>1354</v>
      </c>
      <c r="Z257" s="3"/>
      <c r="AA257" s="3"/>
      <c r="AC257" s="7"/>
      <c r="AD257" s="7"/>
      <c r="AE257" s="7"/>
      <c r="AF257" s="11"/>
      <c r="AG257" s="11"/>
      <c r="AH257" s="11"/>
      <c r="AI257" s="11"/>
      <c r="AJ257" s="11"/>
      <c r="AK257" s="5">
        <f t="shared" ref="AK257:AV257" si="627">AK256/AG256-1</f>
        <v>-2.7578715564978484E-2</v>
      </c>
      <c r="AL257" s="5">
        <f t="shared" si="627"/>
        <v>-6.8856651504883737E-2</v>
      </c>
      <c r="AM257" s="5">
        <f t="shared" si="627"/>
        <v>-0.14041415341187091</v>
      </c>
      <c r="AN257" s="5">
        <f t="shared" si="627"/>
        <v>-0.18380418344083194</v>
      </c>
      <c r="AO257" s="5">
        <f t="shared" si="627"/>
        <v>-0.17045353439803146</v>
      </c>
      <c r="AP257" s="5">
        <f t="shared" si="627"/>
        <v>-0.13897992056020592</v>
      </c>
      <c r="AQ257" s="5">
        <f t="shared" si="627"/>
        <v>-0.11640743717472302</v>
      </c>
      <c r="AR257" s="5">
        <f t="shared" si="627"/>
        <v>-9.2413706874636348E-2</v>
      </c>
      <c r="AS257" s="5">
        <f t="shared" si="627"/>
        <v>-7.2904471470144561E-2</v>
      </c>
      <c r="AT257" s="5">
        <f t="shared" si="627"/>
        <v>-7.2440968190357058E-2</v>
      </c>
      <c r="AU257" s="5">
        <f t="shared" si="627"/>
        <v>-0.29643552284288111</v>
      </c>
      <c r="AV257" s="5">
        <f t="shared" si="627"/>
        <v>-0.30045516722536703</v>
      </c>
      <c r="AW257" s="5">
        <f t="shared" ref="AW257" si="628">AW256/AS256-1</f>
        <v>-0.30183062725878007</v>
      </c>
      <c r="AX257" s="5">
        <f t="shared" ref="AX257" si="629">AX256/AT256-1</f>
        <v>-0.27132025490973766</v>
      </c>
      <c r="AY257" s="8">
        <f t="shared" ref="AY257:BF257" si="630">AY256/AU256-1</f>
        <v>-0.11346065719879539</v>
      </c>
      <c r="AZ257" s="8">
        <f t="shared" si="630"/>
        <v>9.8116929376947937E-3</v>
      </c>
      <c r="BA257" s="8">
        <f t="shared" si="630"/>
        <v>3.1557426760019602E-2</v>
      </c>
      <c r="BB257" s="8">
        <f t="shared" si="630"/>
        <v>1.7233199094946583E-2</v>
      </c>
      <c r="BC257" s="8">
        <f t="shared" si="630"/>
        <v>0.13077254026522023</v>
      </c>
      <c r="BD257" s="8">
        <f t="shared" si="630"/>
        <v>2.0643897827534508E-2</v>
      </c>
      <c r="BE257" s="8">
        <f t="shared" si="630"/>
        <v>5.978705049609645E-2</v>
      </c>
      <c r="BF257" s="8">
        <f t="shared" si="630"/>
        <v>2.3950819642557963E-2</v>
      </c>
      <c r="BG257" s="8">
        <f t="shared" ref="BG257:BR257" si="631">BG256/BC256-1</f>
        <v>-4.7724015193081226E-2</v>
      </c>
      <c r="BH257" s="8">
        <f t="shared" si="631"/>
        <v>2.2706030177094272E-2</v>
      </c>
      <c r="BI257" s="8">
        <f t="shared" si="631"/>
        <v>-3.9602631428258595E-2</v>
      </c>
      <c r="BJ257" s="8">
        <f t="shared" si="631"/>
        <v>-2.2704104461697905E-2</v>
      </c>
      <c r="BK257" s="8">
        <f t="shared" si="631"/>
        <v>-4.2776840069271738E-2</v>
      </c>
      <c r="BL257" s="8">
        <f t="shared" si="631"/>
        <v>3.8692240160215663E-2</v>
      </c>
      <c r="BM257" s="8">
        <f t="shared" si="631"/>
        <v>2.0258400268704513E-2</v>
      </c>
      <c r="BN257" s="8">
        <f t="shared" si="631"/>
        <v>8.8964759022098772E-3</v>
      </c>
      <c r="BO257" s="8">
        <f t="shared" si="631"/>
        <v>7.121746553380004E-2</v>
      </c>
      <c r="BP257" s="8">
        <f t="shared" si="631"/>
        <v>-9.0877894680488902E-3</v>
      </c>
      <c r="BQ257" s="8">
        <f t="shared" si="631"/>
        <v>-3.3877640493915506E-2</v>
      </c>
      <c r="BR257" s="8">
        <f t="shared" si="631"/>
        <v>3.6025656669671058E-2</v>
      </c>
      <c r="BS257" s="8"/>
      <c r="BT257" s="8"/>
      <c r="BU257" s="8"/>
      <c r="BV257" s="8"/>
      <c r="CC257" s="5"/>
      <c r="CD257" s="5"/>
      <c r="CE257" s="5"/>
      <c r="CF257" s="5"/>
    </row>
    <row r="258" spans="2:84">
      <c r="B258" s="3"/>
      <c r="Z258" s="3"/>
      <c r="AA258" s="3"/>
      <c r="AC258" s="7"/>
      <c r="AD258" s="7"/>
      <c r="AE258" s="7"/>
      <c r="AF258" s="7"/>
      <c r="AG258" s="7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CC258" s="8"/>
      <c r="CD258" s="8"/>
      <c r="CE258" s="8"/>
      <c r="CF258" s="5"/>
    </row>
    <row r="259" spans="2:84">
      <c r="B259" s="3" t="s">
        <v>1195</v>
      </c>
      <c r="Z259" s="3"/>
      <c r="AA259" s="3"/>
      <c r="AC259" s="153" t="str">
        <f t="shared" ref="AC259:AP259" si="632">AC233</f>
        <v>Q3 13</v>
      </c>
      <c r="AD259" s="153" t="str">
        <f t="shared" si="632"/>
        <v>Q4 13</v>
      </c>
      <c r="AE259" s="153" t="str">
        <f t="shared" si="632"/>
        <v>Q1 14</v>
      </c>
      <c r="AF259" s="153" t="str">
        <f t="shared" si="632"/>
        <v>Q2 14</v>
      </c>
      <c r="AG259" s="153" t="str">
        <f t="shared" si="632"/>
        <v>Q3 14</v>
      </c>
      <c r="AH259" s="153" t="str">
        <f t="shared" si="632"/>
        <v>Q4 14</v>
      </c>
      <c r="AI259" s="153" t="str">
        <f t="shared" si="632"/>
        <v>Q1 15</v>
      </c>
      <c r="AJ259" s="153" t="str">
        <f t="shared" si="632"/>
        <v>Q2 15</v>
      </c>
      <c r="AK259" s="153" t="str">
        <f t="shared" si="632"/>
        <v>Q3 15</v>
      </c>
      <c r="AL259" s="153" t="str">
        <f t="shared" si="632"/>
        <v>Q4 15</v>
      </c>
      <c r="AM259" s="153" t="str">
        <f t="shared" si="632"/>
        <v>Q1 16</v>
      </c>
      <c r="AN259" s="153" t="str">
        <f t="shared" si="632"/>
        <v>Q2 16</v>
      </c>
      <c r="AO259" s="153" t="str">
        <f t="shared" si="632"/>
        <v>Q3 16</v>
      </c>
      <c r="AP259" s="153" t="str">
        <f t="shared" si="632"/>
        <v>Q4 16</v>
      </c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  <c r="BI259" s="153"/>
      <c r="BJ259" s="153"/>
      <c r="BK259" s="153"/>
      <c r="BL259" s="153"/>
      <c r="BM259" s="153"/>
      <c r="BN259" s="153"/>
      <c r="BO259" s="153"/>
      <c r="BP259" s="153"/>
      <c r="BQ259" s="153"/>
      <c r="BR259" s="153"/>
      <c r="BS259" s="153"/>
      <c r="BT259" s="153"/>
      <c r="BU259" s="153"/>
      <c r="BV259" s="153"/>
    </row>
    <row r="260" spans="2:84">
      <c r="B260" s="3" t="s">
        <v>1256</v>
      </c>
      <c r="Z260" s="3"/>
      <c r="AA260" s="3"/>
      <c r="AC260" s="7">
        <v>19</v>
      </c>
      <c r="AD260" s="7">
        <v>112</v>
      </c>
      <c r="AE260" s="7">
        <v>211</v>
      </c>
      <c r="AF260" s="7">
        <v>397</v>
      </c>
      <c r="AG260" s="7">
        <v>620</v>
      </c>
      <c r="AH260" s="7">
        <v>996</v>
      </c>
      <c r="AI260" s="7">
        <f>AI264-AI261-AI262-AI263</f>
        <v>1297</v>
      </c>
      <c r="AJ260" s="7">
        <v>1506</v>
      </c>
      <c r="AK260" s="7">
        <v>2135</v>
      </c>
      <c r="AL260" s="7">
        <v>2791</v>
      </c>
      <c r="AM260" s="7">
        <v>3425</v>
      </c>
      <c r="AN260" s="7">
        <v>3941</v>
      </c>
      <c r="AO260" s="7">
        <v>4281</v>
      </c>
      <c r="AP260" s="7">
        <v>4597</v>
      </c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2:84">
      <c r="B261" s="3" t="s">
        <v>1192</v>
      </c>
      <c r="Z261" s="3"/>
      <c r="AA261" s="3"/>
      <c r="AC261" s="7">
        <v>1051</v>
      </c>
      <c r="AD261" s="7">
        <v>978</v>
      </c>
      <c r="AE261" s="7">
        <v>910</v>
      </c>
      <c r="AF261" s="7">
        <v>843</v>
      </c>
      <c r="AG261" s="7">
        <v>775</v>
      </c>
      <c r="AH261" s="7">
        <v>679</v>
      </c>
      <c r="AI261" s="7">
        <f>615-AI262</f>
        <v>600</v>
      </c>
      <c r="AJ261" s="7">
        <f>435-AJ262</f>
        <v>425</v>
      </c>
      <c r="AK261" s="7">
        <f>335-AK262</f>
        <v>325</v>
      </c>
      <c r="AL261" s="7">
        <f>269-AL262</f>
        <v>259</v>
      </c>
      <c r="AM261" s="7">
        <v>188</v>
      </c>
      <c r="AN261" s="7">
        <v>158</v>
      </c>
      <c r="AO261" s="7">
        <v>133</v>
      </c>
      <c r="AP261" s="7">
        <v>113</v>
      </c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2:84">
      <c r="B262" s="3" t="s">
        <v>1193</v>
      </c>
      <c r="Z262" s="3"/>
      <c r="AA262" s="3"/>
      <c r="AC262" s="7">
        <v>171</v>
      </c>
      <c r="AD262" s="7">
        <v>142</v>
      </c>
      <c r="AE262" s="7">
        <v>111</v>
      </c>
      <c r="AF262" s="7">
        <v>86</v>
      </c>
      <c r="AG262" s="7">
        <v>44</v>
      </c>
      <c r="AH262" s="7">
        <v>25</v>
      </c>
      <c r="AI262" s="7">
        <v>15</v>
      </c>
      <c r="AJ262" s="7">
        <v>10</v>
      </c>
      <c r="AK262" s="7">
        <v>10</v>
      </c>
      <c r="AL262" s="7">
        <v>10</v>
      </c>
      <c r="AM262" s="7">
        <v>10</v>
      </c>
      <c r="AN262" s="7">
        <v>10</v>
      </c>
      <c r="AO262" s="7">
        <v>10</v>
      </c>
      <c r="AP262" s="7">
        <v>11</v>
      </c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2:84">
      <c r="B263" s="2" t="s">
        <v>1194</v>
      </c>
      <c r="Z263" s="2"/>
      <c r="AA263" s="2"/>
      <c r="AB263" s="108"/>
      <c r="AC263" s="9">
        <v>328</v>
      </c>
      <c r="AD263" s="9">
        <v>325</v>
      </c>
      <c r="AE263" s="9">
        <v>262</v>
      </c>
      <c r="AF263" s="9">
        <v>126</v>
      </c>
      <c r="AG263" s="9">
        <v>42</v>
      </c>
      <c r="AH263" s="2">
        <v>39</v>
      </c>
      <c r="AI263" s="2">
        <v>48</v>
      </c>
      <c r="AJ263" s="2">
        <v>60</v>
      </c>
      <c r="AK263" s="2">
        <v>74</v>
      </c>
      <c r="AL263" s="2">
        <v>69</v>
      </c>
      <c r="AM263" s="379">
        <f>AM264-SUM(AM260:AM262)</f>
        <v>65</v>
      </c>
      <c r="AN263" s="379">
        <f>AN264-SUM(AN260:AN262)</f>
        <v>80</v>
      </c>
      <c r="AO263" s="379">
        <f>AO264-SUM(AO260:AO262)</f>
        <v>95</v>
      </c>
      <c r="AP263" s="379">
        <v>99</v>
      </c>
      <c r="AQ263" s="379"/>
      <c r="AR263" s="379"/>
      <c r="AS263" s="379"/>
      <c r="AT263" s="379"/>
      <c r="AU263" s="379"/>
      <c r="AV263" s="379"/>
      <c r="AW263" s="379"/>
      <c r="AX263" s="379"/>
      <c r="AY263" s="379"/>
      <c r="AZ263" s="379"/>
      <c r="BA263" s="379"/>
      <c r="BB263" s="379"/>
      <c r="BC263" s="379"/>
      <c r="BD263" s="379"/>
      <c r="BE263" s="379"/>
      <c r="BF263" s="379"/>
      <c r="BG263" s="379"/>
      <c r="BH263" s="108"/>
      <c r="BI263" s="108"/>
      <c r="BJ263" s="108"/>
      <c r="BK263" s="108"/>
      <c r="BL263" s="108"/>
    </row>
    <row r="264" spans="2:84">
      <c r="B264" s="3" t="s">
        <v>0</v>
      </c>
      <c r="Z264" s="87">
        <v>1660</v>
      </c>
      <c r="AA264" s="87">
        <v>1699</v>
      </c>
      <c r="AC264" s="87">
        <f>Interims!D230</f>
        <v>1569</v>
      </c>
      <c r="AD264" s="87">
        <f>Interims!E230</f>
        <v>1556</v>
      </c>
      <c r="AE264" s="87">
        <f>Interims!F230</f>
        <v>1493</v>
      </c>
      <c r="AF264" s="87">
        <f>Interims!G230</f>
        <v>1453</v>
      </c>
      <c r="AG264" s="87">
        <f>Interims!H230</f>
        <v>1480</v>
      </c>
      <c r="AH264" s="87">
        <v>1738</v>
      </c>
      <c r="AI264" s="87">
        <v>1960</v>
      </c>
      <c r="AJ264" s="87">
        <f>SUM(AJ260:AJ263)</f>
        <v>2001</v>
      </c>
      <c r="AK264" s="87">
        <f>SUM(AK260:AK263)</f>
        <v>2544</v>
      </c>
      <c r="AL264" s="87">
        <v>3129</v>
      </c>
      <c r="AM264" s="87">
        <v>3688</v>
      </c>
      <c r="AN264" s="87">
        <v>4189</v>
      </c>
      <c r="AO264" s="87">
        <v>4519</v>
      </c>
      <c r="AP264" s="87">
        <v>4838</v>
      </c>
      <c r="AQ264" s="87">
        <v>5187</v>
      </c>
      <c r="AR264" s="87">
        <v>5854</v>
      </c>
      <c r="AS264" s="87">
        <f>AS267+AS268</f>
        <v>6194</v>
      </c>
      <c r="AT264" s="87">
        <f t="shared" ref="AT264:AY264" si="633">AT267+AT268</f>
        <v>6543</v>
      </c>
      <c r="AU264" s="87">
        <f t="shared" si="633"/>
        <v>6862</v>
      </c>
      <c r="AV264" s="87">
        <f t="shared" si="633"/>
        <v>7176</v>
      </c>
      <c r="AW264" s="87">
        <f t="shared" si="633"/>
        <v>7444</v>
      </c>
      <c r="AX264" s="87">
        <f t="shared" si="633"/>
        <v>7815</v>
      </c>
      <c r="AY264" s="87">
        <f t="shared" si="633"/>
        <v>7972</v>
      </c>
      <c r="AZ264" s="87">
        <v>7887</v>
      </c>
      <c r="BA264" s="87">
        <v>7936</v>
      </c>
      <c r="BB264" s="87">
        <v>8293</v>
      </c>
      <c r="BC264" s="87">
        <v>8340</v>
      </c>
      <c r="BD264" s="87">
        <v>8000</v>
      </c>
      <c r="BE264" s="87">
        <v>8357</v>
      </c>
      <c r="BF264" s="87">
        <v>8885</v>
      </c>
      <c r="BG264" s="87">
        <v>9171</v>
      </c>
      <c r="BH264" s="87">
        <v>9547</v>
      </c>
      <c r="BI264" s="87">
        <v>9731</v>
      </c>
      <c r="BJ264" s="87">
        <v>9895</v>
      </c>
      <c r="BK264" s="87">
        <v>9609</v>
      </c>
      <c r="BL264" s="87">
        <v>9755</v>
      </c>
      <c r="BM264" s="577">
        <v>9893</v>
      </c>
      <c r="BN264" s="577">
        <v>10049</v>
      </c>
      <c r="BO264" s="577">
        <v>9795</v>
      </c>
      <c r="BP264" s="577">
        <v>9772</v>
      </c>
      <c r="BQ264" s="577">
        <v>9701</v>
      </c>
      <c r="BR264" s="577">
        <v>9652</v>
      </c>
      <c r="BS264" s="87"/>
      <c r="BT264" s="87"/>
      <c r="BU264" s="87"/>
      <c r="BV264" s="87"/>
    </row>
    <row r="265" spans="2:84">
      <c r="B265" s="3"/>
      <c r="Z265" s="87"/>
      <c r="AA265" s="87"/>
      <c r="AC265" s="87"/>
      <c r="AD265" s="87"/>
      <c r="AE265" s="87"/>
      <c r="AF265" s="87"/>
      <c r="AG265" s="87"/>
      <c r="AH265" s="3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2:84">
      <c r="B266" s="3" t="s">
        <v>2051</v>
      </c>
      <c r="Z266" s="87"/>
      <c r="AA266" s="87"/>
      <c r="AC266" s="87"/>
      <c r="AD266" s="87"/>
      <c r="AE266" s="87"/>
      <c r="AF266" s="87"/>
      <c r="AG266" s="87"/>
      <c r="AH266" s="3"/>
      <c r="AI266" s="7"/>
      <c r="AJ266" s="7"/>
      <c r="AK266" s="7"/>
      <c r="AL266" s="7"/>
      <c r="AM266" s="7"/>
      <c r="AN266" s="7"/>
      <c r="AO266" s="7"/>
      <c r="AP266" s="7">
        <v>29</v>
      </c>
      <c r="AQ266" s="7">
        <v>65</v>
      </c>
      <c r="AR266" s="7">
        <v>95</v>
      </c>
      <c r="AS266" s="7">
        <v>121</v>
      </c>
      <c r="AT266" s="7">
        <v>138</v>
      </c>
      <c r="AU266" s="7">
        <v>152</v>
      </c>
      <c r="AV266" s="7">
        <v>171</v>
      </c>
      <c r="AW266" s="7">
        <v>189</v>
      </c>
      <c r="AX266" s="7">
        <v>193</v>
      </c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2:84">
      <c r="B267" s="3" t="s">
        <v>1646</v>
      </c>
      <c r="Z267" s="87"/>
      <c r="AA267" s="87"/>
      <c r="AC267" s="87"/>
      <c r="AD267" s="87"/>
      <c r="AE267" s="87"/>
      <c r="AF267" s="87">
        <v>755</v>
      </c>
      <c r="AG267" s="87">
        <v>800</v>
      </c>
      <c r="AH267" s="87">
        <v>922</v>
      </c>
      <c r="AI267" s="87">
        <v>990</v>
      </c>
      <c r="AJ267" s="87">
        <v>1083</v>
      </c>
      <c r="AK267" s="87">
        <v>1259</v>
      </c>
      <c r="AL267" s="87">
        <v>1393</v>
      </c>
      <c r="AM267" s="87">
        <v>1439</v>
      </c>
      <c r="AN267" s="87">
        <v>1559</v>
      </c>
      <c r="AO267" s="87">
        <v>1703</v>
      </c>
      <c r="AP267" s="87">
        <v>1853</v>
      </c>
      <c r="AQ267" s="87">
        <v>1945</v>
      </c>
      <c r="AR267" s="87">
        <v>2037</v>
      </c>
      <c r="AS267" s="87">
        <v>2190</v>
      </c>
      <c r="AT267" s="87">
        <v>2254</v>
      </c>
      <c r="AU267" s="87">
        <v>2288</v>
      </c>
      <c r="AV267" s="87">
        <v>2406</v>
      </c>
      <c r="AW267" s="87">
        <v>2525</v>
      </c>
      <c r="AX267" s="87">
        <v>2671</v>
      </c>
      <c r="AY267" s="87">
        <v>2718</v>
      </c>
      <c r="AZ267" s="87">
        <v>2794</v>
      </c>
      <c r="BA267" s="87">
        <v>2922</v>
      </c>
      <c r="BB267" s="87">
        <v>3102</v>
      </c>
      <c r="BC267" s="87">
        <v>3177</v>
      </c>
      <c r="BD267" s="87">
        <v>3224</v>
      </c>
      <c r="BE267" s="87">
        <v>3363</v>
      </c>
      <c r="BF267" s="87">
        <v>3713</v>
      </c>
      <c r="BG267" s="87">
        <v>3782</v>
      </c>
      <c r="BH267" s="87">
        <v>4180</v>
      </c>
      <c r="BI267" s="87">
        <v>4283</v>
      </c>
      <c r="BJ267" s="87">
        <v>4403</v>
      </c>
      <c r="BK267" s="87">
        <v>4214</v>
      </c>
      <c r="BL267" s="87">
        <v>4418</v>
      </c>
      <c r="BM267" s="87">
        <v>4508</v>
      </c>
      <c r="BN267" s="87">
        <v>4577</v>
      </c>
      <c r="BO267" s="87">
        <v>3890</v>
      </c>
      <c r="BP267" s="87">
        <v>3952</v>
      </c>
      <c r="BQ267" s="87">
        <v>3999</v>
      </c>
      <c r="BR267" s="87">
        <v>4049</v>
      </c>
      <c r="BS267" s="87"/>
      <c r="BT267" s="87"/>
      <c r="BU267" s="87"/>
      <c r="BV267" s="87"/>
    </row>
    <row r="268" spans="2:84">
      <c r="B268" s="3" t="s">
        <v>1647</v>
      </c>
      <c r="Z268" s="87"/>
      <c r="AA268" s="87"/>
      <c r="AC268" s="87"/>
      <c r="AD268" s="87"/>
      <c r="AE268" s="87"/>
      <c r="AF268" s="87">
        <f>AF264-AF267</f>
        <v>698</v>
      </c>
      <c r="AG268" s="87">
        <f t="shared" ref="AG268:AN268" si="634">AG264-AG267</f>
        <v>680</v>
      </c>
      <c r="AH268" s="87">
        <f t="shared" si="634"/>
        <v>816</v>
      </c>
      <c r="AI268" s="87">
        <f t="shared" si="634"/>
        <v>970</v>
      </c>
      <c r="AJ268" s="87">
        <f t="shared" si="634"/>
        <v>918</v>
      </c>
      <c r="AK268" s="87">
        <f t="shared" si="634"/>
        <v>1285</v>
      </c>
      <c r="AL268" s="87">
        <f t="shared" si="634"/>
        <v>1736</v>
      </c>
      <c r="AM268" s="87">
        <f t="shared" si="634"/>
        <v>2249</v>
      </c>
      <c r="AN268" s="87">
        <f t="shared" si="634"/>
        <v>2630</v>
      </c>
      <c r="AO268" s="87">
        <v>2805</v>
      </c>
      <c r="AP268" s="87">
        <f t="shared" ref="AP268:AR268" si="635">AP264-AP266-AP267</f>
        <v>2956</v>
      </c>
      <c r="AQ268" s="87">
        <f t="shared" si="635"/>
        <v>3177</v>
      </c>
      <c r="AR268" s="87">
        <f t="shared" si="635"/>
        <v>3722</v>
      </c>
      <c r="AS268" s="87">
        <v>4004</v>
      </c>
      <c r="AT268" s="87">
        <v>4289</v>
      </c>
      <c r="AU268" s="87">
        <v>4574</v>
      </c>
      <c r="AV268" s="87">
        <v>4770</v>
      </c>
      <c r="AW268" s="87">
        <v>4919</v>
      </c>
      <c r="AX268" s="87">
        <v>5144</v>
      </c>
      <c r="AY268" s="87">
        <v>5254</v>
      </c>
      <c r="AZ268" s="87">
        <v>5094</v>
      </c>
      <c r="BA268" s="87">
        <v>5014</v>
      </c>
      <c r="BB268" s="87">
        <v>5191</v>
      </c>
      <c r="BC268" s="87">
        <v>5162</v>
      </c>
      <c r="BD268" s="87">
        <v>4775</v>
      </c>
      <c r="BE268" s="87">
        <v>4994</v>
      </c>
      <c r="BF268" s="87">
        <v>5172</v>
      </c>
      <c r="BG268" s="87">
        <v>5390</v>
      </c>
      <c r="BH268" s="87">
        <v>5366</v>
      </c>
      <c r="BI268" s="87">
        <v>5448</v>
      </c>
      <c r="BJ268" s="87">
        <v>5492</v>
      </c>
      <c r="BK268" s="87">
        <v>5395</v>
      </c>
      <c r="BL268" s="87">
        <v>5337</v>
      </c>
      <c r="BM268" s="87">
        <v>5384</v>
      </c>
      <c r="BN268" s="87">
        <v>5472</v>
      </c>
      <c r="BO268" s="87">
        <v>5329</v>
      </c>
      <c r="BP268" s="87">
        <v>5253</v>
      </c>
      <c r="BQ268" s="87">
        <v>5156</v>
      </c>
      <c r="BR268" s="87">
        <v>5047</v>
      </c>
      <c r="BS268" s="87"/>
      <c r="BT268" s="87"/>
      <c r="BU268" s="87"/>
      <c r="BV268" s="87"/>
    </row>
    <row r="269" spans="2:84">
      <c r="B269" s="3" t="s">
        <v>1751</v>
      </c>
      <c r="Z269" s="87"/>
      <c r="AA269" s="87"/>
      <c r="AC269" s="87"/>
      <c r="AD269" s="87"/>
      <c r="AE269" s="87"/>
      <c r="AF269" s="5">
        <f>AF267/(AF267+AF268)</f>
        <v>0.51961459050240877</v>
      </c>
      <c r="AG269" s="5">
        <f t="shared" ref="AG269:AO269" si="636">AG267/(AG267+AG268)</f>
        <v>0.54054054054054057</v>
      </c>
      <c r="AH269" s="5">
        <f t="shared" si="636"/>
        <v>0.53049482163406214</v>
      </c>
      <c r="AI269" s="5">
        <f t="shared" si="636"/>
        <v>0.50510204081632648</v>
      </c>
      <c r="AJ269" s="5">
        <f t="shared" si="636"/>
        <v>0.54122938530734632</v>
      </c>
      <c r="AK269" s="5">
        <f t="shared" si="636"/>
        <v>0.49488993710691825</v>
      </c>
      <c r="AL269" s="5">
        <f t="shared" si="636"/>
        <v>0.44519015659955258</v>
      </c>
      <c r="AM269" s="5">
        <f t="shared" si="636"/>
        <v>0.39018438177874187</v>
      </c>
      <c r="AN269" s="5">
        <f t="shared" si="636"/>
        <v>0.37216519455717356</v>
      </c>
      <c r="AO269" s="5">
        <f t="shared" si="636"/>
        <v>0.37777284826974267</v>
      </c>
      <c r="AP269" s="5">
        <f t="shared" ref="AP269:AQ269" si="637">AP267/(AP267+AP268)</f>
        <v>0.38531919317945518</v>
      </c>
      <c r="AQ269" s="5">
        <f t="shared" si="637"/>
        <v>0.37973447871925031</v>
      </c>
      <c r="AR269" s="5">
        <f t="shared" ref="AR269:BM269" si="638">AR267/(AR267+AR268)</f>
        <v>0.35370724084042371</v>
      </c>
      <c r="AS269" s="5">
        <f t="shared" si="638"/>
        <v>0.35356796900226023</v>
      </c>
      <c r="AT269" s="5">
        <f t="shared" si="638"/>
        <v>0.34449029497172551</v>
      </c>
      <c r="AU269" s="5">
        <f t="shared" si="638"/>
        <v>0.33343048673856018</v>
      </c>
      <c r="AV269" s="5">
        <f t="shared" si="638"/>
        <v>0.33528428093645485</v>
      </c>
      <c r="AW269" s="5">
        <f t="shared" si="638"/>
        <v>0.33919935518538419</v>
      </c>
      <c r="AX269" s="5">
        <f t="shared" si="638"/>
        <v>0.34177863083813181</v>
      </c>
      <c r="AY269" s="5">
        <f t="shared" si="638"/>
        <v>0.34094330155544406</v>
      </c>
      <c r="AZ269" s="5">
        <f t="shared" si="638"/>
        <v>0.35420892494929007</v>
      </c>
      <c r="BA269" s="5">
        <f t="shared" si="638"/>
        <v>0.36819556451612906</v>
      </c>
      <c r="BB269" s="5">
        <f t="shared" si="638"/>
        <v>0.37405040395514288</v>
      </c>
      <c r="BC269" s="5">
        <f t="shared" si="638"/>
        <v>0.38098093296558339</v>
      </c>
      <c r="BD269" s="5">
        <f t="shared" si="638"/>
        <v>0.40305038129766219</v>
      </c>
      <c r="BE269" s="5">
        <f t="shared" si="638"/>
        <v>0.40241713533564677</v>
      </c>
      <c r="BF269" s="5">
        <f t="shared" si="638"/>
        <v>0.41789532920652783</v>
      </c>
      <c r="BG269" s="5">
        <f t="shared" si="638"/>
        <v>0.41234191016136068</v>
      </c>
      <c r="BH269" s="5">
        <f t="shared" si="638"/>
        <v>0.43787974020532161</v>
      </c>
      <c r="BI269" s="5">
        <f t="shared" si="638"/>
        <v>0.4401397595313945</v>
      </c>
      <c r="BJ269" s="5">
        <f t="shared" si="638"/>
        <v>0.44497220818595251</v>
      </c>
      <c r="BK269" s="5">
        <f t="shared" si="638"/>
        <v>0.43854719533770425</v>
      </c>
      <c r="BL269" s="5">
        <f t="shared" si="638"/>
        <v>0.45289595079446437</v>
      </c>
      <c r="BM269" s="5">
        <f t="shared" si="638"/>
        <v>0.45572179539021429</v>
      </c>
      <c r="BN269" s="5">
        <f t="shared" ref="BN269:BR269" si="639">BN267/(BN267+BN268)</f>
        <v>0.45546820579162106</v>
      </c>
      <c r="BO269" s="5">
        <f t="shared" si="639"/>
        <v>0.42195465885670896</v>
      </c>
      <c r="BP269" s="5">
        <f t="shared" si="639"/>
        <v>0.42933188484519286</v>
      </c>
      <c r="BQ269" s="5">
        <f t="shared" si="639"/>
        <v>0.43681048607318407</v>
      </c>
      <c r="BR269" s="5">
        <f t="shared" si="639"/>
        <v>0.44514072119613018</v>
      </c>
      <c r="BS269" s="5"/>
      <c r="BT269" s="5"/>
      <c r="BU269" s="5"/>
      <c r="BV269" s="5"/>
    </row>
    <row r="270" spans="2:84">
      <c r="B270" s="3"/>
      <c r="Z270" s="87"/>
      <c r="AA270" s="87"/>
      <c r="AC270" s="87"/>
      <c r="AD270" s="87"/>
      <c r="AE270" s="87"/>
      <c r="AF270" s="87"/>
      <c r="AG270" s="87"/>
      <c r="AH270" s="3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2:84">
      <c r="B271" s="3" t="s">
        <v>1196</v>
      </c>
      <c r="Z271" s="87"/>
      <c r="AA271" s="87"/>
      <c r="AC271" s="87"/>
      <c r="AD271" s="393" t="str">
        <f t="shared" ref="AD271:AP271" si="640">AD233</f>
        <v>Q4 13</v>
      </c>
      <c r="AE271" s="393" t="str">
        <f t="shared" si="640"/>
        <v>Q1 14</v>
      </c>
      <c r="AF271" s="393" t="str">
        <f t="shared" si="640"/>
        <v>Q2 14</v>
      </c>
      <c r="AG271" s="393" t="str">
        <f t="shared" si="640"/>
        <v>Q3 14</v>
      </c>
      <c r="AH271" s="393" t="str">
        <f t="shared" si="640"/>
        <v>Q4 14</v>
      </c>
      <c r="AI271" s="393" t="str">
        <f t="shared" si="640"/>
        <v>Q1 15</v>
      </c>
      <c r="AJ271" s="393" t="str">
        <f t="shared" si="640"/>
        <v>Q2 15</v>
      </c>
      <c r="AK271" s="393" t="str">
        <f t="shared" si="640"/>
        <v>Q3 15</v>
      </c>
      <c r="AL271" s="393" t="str">
        <f t="shared" si="640"/>
        <v>Q4 15</v>
      </c>
      <c r="AM271" s="393" t="str">
        <f t="shared" si="640"/>
        <v>Q1 16</v>
      </c>
      <c r="AN271" s="393" t="str">
        <f t="shared" si="640"/>
        <v>Q2 16</v>
      </c>
      <c r="AO271" s="393" t="str">
        <f t="shared" si="640"/>
        <v>Q3 16</v>
      </c>
      <c r="AP271" s="393" t="str">
        <f t="shared" si="640"/>
        <v>Q4 16</v>
      </c>
      <c r="AQ271" s="582"/>
      <c r="AR271" s="582"/>
      <c r="AS271" s="582"/>
      <c r="AT271" s="582"/>
      <c r="AU271" s="582"/>
      <c r="AV271" s="582"/>
      <c r="AW271" s="582"/>
      <c r="AX271" s="582"/>
      <c r="AY271" s="582"/>
      <c r="AZ271" s="582"/>
      <c r="BA271" s="582"/>
      <c r="BB271" s="582"/>
      <c r="BC271" s="582"/>
      <c r="BD271" s="582"/>
      <c r="BE271" s="582"/>
      <c r="BF271" s="582"/>
      <c r="BG271" s="582"/>
      <c r="BH271" s="582"/>
      <c r="BI271" s="582"/>
      <c r="BJ271" s="582"/>
      <c r="BK271" s="582"/>
      <c r="BL271" s="582"/>
      <c r="BM271" s="582"/>
      <c r="BN271" s="582"/>
      <c r="BO271" s="582"/>
      <c r="BP271" s="582"/>
      <c r="BQ271" s="582"/>
      <c r="BR271" s="582"/>
      <c r="BS271" s="582"/>
      <c r="BT271" s="582"/>
      <c r="BU271" s="582"/>
      <c r="BV271" s="582"/>
    </row>
    <row r="272" spans="2:84">
      <c r="B272" s="3" t="str">
        <f>B260</f>
        <v>2G/3G/4G</v>
      </c>
      <c r="Z272" s="87"/>
      <c r="AA272" s="87"/>
      <c r="AC272" s="87" t="str">
        <f>B272</f>
        <v>2G/3G/4G</v>
      </c>
      <c r="AD272" s="87">
        <f t="shared" ref="AD272:AP272" si="641">AD260-AC260</f>
        <v>93</v>
      </c>
      <c r="AE272" s="87">
        <f t="shared" si="641"/>
        <v>99</v>
      </c>
      <c r="AF272" s="87">
        <f t="shared" si="641"/>
        <v>186</v>
      </c>
      <c r="AG272" s="87">
        <f t="shared" si="641"/>
        <v>223</v>
      </c>
      <c r="AH272" s="87">
        <f t="shared" si="641"/>
        <v>376</v>
      </c>
      <c r="AI272" s="87">
        <f t="shared" si="641"/>
        <v>301</v>
      </c>
      <c r="AJ272" s="87">
        <f t="shared" si="641"/>
        <v>209</v>
      </c>
      <c r="AK272" s="87">
        <f t="shared" si="641"/>
        <v>629</v>
      </c>
      <c r="AL272" s="87">
        <f t="shared" si="641"/>
        <v>656</v>
      </c>
      <c r="AM272" s="87">
        <f t="shared" si="641"/>
        <v>634</v>
      </c>
      <c r="AN272" s="87">
        <f t="shared" si="641"/>
        <v>516</v>
      </c>
      <c r="AO272" s="87">
        <f t="shared" si="641"/>
        <v>340</v>
      </c>
      <c r="AP272" s="87">
        <f t="shared" si="641"/>
        <v>316</v>
      </c>
      <c r="AQ272" s="87"/>
      <c r="AR272" s="87"/>
      <c r="AS272" s="87"/>
      <c r="AT272" s="87"/>
      <c r="AU272" s="87"/>
      <c r="AV272" s="87"/>
      <c r="AW272" s="87"/>
      <c r="AX272" s="87"/>
      <c r="AY272" s="87"/>
      <c r="AZ272" s="87"/>
      <c r="BA272" s="87"/>
      <c r="BB272" s="87"/>
      <c r="BC272" s="87"/>
      <c r="BD272" s="87"/>
      <c r="BE272" s="87"/>
      <c r="BF272" s="87"/>
      <c r="BG272" s="87"/>
    </row>
    <row r="273" spans="2:109">
      <c r="B273" s="3" t="str">
        <f>B261</f>
        <v>iDEN</v>
      </c>
      <c r="Z273" s="87"/>
      <c r="AA273" s="87"/>
      <c r="AC273" s="87" t="str">
        <f>B273</f>
        <v>iDEN</v>
      </c>
      <c r="AD273" s="87">
        <f t="shared" ref="AD273:AP273" si="642">AD261-AC261</f>
        <v>-73</v>
      </c>
      <c r="AE273" s="87">
        <f t="shared" si="642"/>
        <v>-68</v>
      </c>
      <c r="AF273" s="87">
        <f t="shared" si="642"/>
        <v>-67</v>
      </c>
      <c r="AG273" s="87">
        <f t="shared" si="642"/>
        <v>-68</v>
      </c>
      <c r="AH273" s="87">
        <f t="shared" si="642"/>
        <v>-96</v>
      </c>
      <c r="AI273" s="87">
        <f t="shared" si="642"/>
        <v>-79</v>
      </c>
      <c r="AJ273" s="87">
        <f t="shared" si="642"/>
        <v>-175</v>
      </c>
      <c r="AK273" s="87">
        <f t="shared" si="642"/>
        <v>-100</v>
      </c>
      <c r="AL273" s="87">
        <f t="shared" si="642"/>
        <v>-66</v>
      </c>
      <c r="AM273" s="87">
        <f t="shared" si="642"/>
        <v>-71</v>
      </c>
      <c r="AN273" s="87">
        <f t="shared" si="642"/>
        <v>-30</v>
      </c>
      <c r="AO273" s="87">
        <f t="shared" si="642"/>
        <v>-25</v>
      </c>
      <c r="AP273" s="87">
        <f t="shared" si="642"/>
        <v>-20</v>
      </c>
      <c r="AQ273" s="87"/>
      <c r="AR273" s="87"/>
      <c r="AS273" s="87"/>
      <c r="AT273" s="87"/>
      <c r="AU273" s="87"/>
      <c r="AV273" s="87"/>
      <c r="AW273" s="87"/>
      <c r="AX273" s="87"/>
      <c r="AY273" s="87"/>
      <c r="AZ273" s="87"/>
      <c r="BA273" s="87"/>
      <c r="BB273" s="87"/>
      <c r="BC273" s="87"/>
      <c r="BD273" s="87"/>
      <c r="BE273" s="87"/>
      <c r="BF273" s="87"/>
      <c r="BG273" s="87"/>
    </row>
    <row r="274" spans="2:109">
      <c r="B274" s="3" t="str">
        <f>B262</f>
        <v>3G PTT</v>
      </c>
      <c r="Z274" s="87"/>
      <c r="AA274" s="87"/>
      <c r="AC274" s="87" t="str">
        <f>B274</f>
        <v>3G PTT</v>
      </c>
      <c r="AD274" s="87">
        <f t="shared" ref="AD274:AP274" si="643">AD262-AC262</f>
        <v>-29</v>
      </c>
      <c r="AE274" s="87">
        <f t="shared" si="643"/>
        <v>-31</v>
      </c>
      <c r="AF274" s="87">
        <f t="shared" si="643"/>
        <v>-25</v>
      </c>
      <c r="AG274" s="87">
        <f t="shared" si="643"/>
        <v>-42</v>
      </c>
      <c r="AH274" s="87">
        <f t="shared" si="643"/>
        <v>-19</v>
      </c>
      <c r="AI274" s="87">
        <f t="shared" si="643"/>
        <v>-10</v>
      </c>
      <c r="AJ274" s="87">
        <f t="shared" si="643"/>
        <v>-5</v>
      </c>
      <c r="AK274" s="87">
        <f t="shared" si="643"/>
        <v>0</v>
      </c>
      <c r="AL274" s="87">
        <f t="shared" si="643"/>
        <v>0</v>
      </c>
      <c r="AM274" s="87">
        <f t="shared" si="643"/>
        <v>0</v>
      </c>
      <c r="AN274" s="87">
        <f t="shared" si="643"/>
        <v>0</v>
      </c>
      <c r="AO274" s="87">
        <f t="shared" si="643"/>
        <v>0</v>
      </c>
      <c r="AP274" s="87">
        <f t="shared" si="643"/>
        <v>1</v>
      </c>
      <c r="AQ274" s="87"/>
      <c r="AR274" s="87"/>
      <c r="AS274" s="87"/>
      <c r="AT274" s="87"/>
      <c r="AU274" s="87"/>
      <c r="AV274" s="87"/>
      <c r="AW274" s="87"/>
      <c r="AX274" s="87"/>
      <c r="AY274" s="87"/>
      <c r="AZ274" s="87"/>
      <c r="BA274" s="87"/>
      <c r="BB274" s="87"/>
      <c r="BC274" s="87"/>
      <c r="BD274" s="87"/>
      <c r="BE274" s="87"/>
      <c r="BF274" s="87"/>
      <c r="BG274" s="87"/>
    </row>
    <row r="275" spans="2:109">
      <c r="B275" s="2" t="str">
        <f>B263</f>
        <v>Mobile broadband</v>
      </c>
      <c r="Z275" s="379"/>
      <c r="AA275" s="379"/>
      <c r="AB275" s="108"/>
      <c r="AC275" s="379" t="str">
        <f>B275</f>
        <v>Mobile broadband</v>
      </c>
      <c r="AD275" s="379">
        <f t="shared" ref="AD275:AP275" si="644">AD263-AC263</f>
        <v>-3</v>
      </c>
      <c r="AE275" s="379">
        <f t="shared" si="644"/>
        <v>-63</v>
      </c>
      <c r="AF275" s="379">
        <f t="shared" si="644"/>
        <v>-136</v>
      </c>
      <c r="AG275" s="379">
        <f t="shared" si="644"/>
        <v>-84</v>
      </c>
      <c r="AH275" s="379">
        <f t="shared" si="644"/>
        <v>-3</v>
      </c>
      <c r="AI275" s="379">
        <f t="shared" si="644"/>
        <v>9</v>
      </c>
      <c r="AJ275" s="379">
        <f t="shared" si="644"/>
        <v>12</v>
      </c>
      <c r="AK275" s="379">
        <f t="shared" si="644"/>
        <v>14</v>
      </c>
      <c r="AL275" s="379">
        <f t="shared" si="644"/>
        <v>-5</v>
      </c>
      <c r="AM275" s="379">
        <f t="shared" si="644"/>
        <v>-4</v>
      </c>
      <c r="AN275" s="379">
        <f t="shared" si="644"/>
        <v>15</v>
      </c>
      <c r="AO275" s="379">
        <f t="shared" si="644"/>
        <v>15</v>
      </c>
      <c r="AP275" s="379">
        <f t="shared" si="644"/>
        <v>4</v>
      </c>
      <c r="AQ275" s="379"/>
      <c r="AR275" s="379"/>
      <c r="AS275" s="379"/>
      <c r="AT275" s="379"/>
      <c r="AU275" s="379"/>
      <c r="AV275" s="379"/>
      <c r="AW275" s="379"/>
      <c r="AX275" s="379"/>
      <c r="AY275" s="379"/>
      <c r="AZ275" s="379"/>
      <c r="BA275" s="379"/>
      <c r="BB275" s="379"/>
      <c r="BC275" s="379"/>
      <c r="BD275" s="379"/>
      <c r="BE275" s="379"/>
      <c r="BF275" s="379"/>
      <c r="BG275" s="379"/>
      <c r="BH275" s="108"/>
      <c r="BI275" s="108"/>
      <c r="BJ275" s="108"/>
      <c r="BK275" s="108"/>
      <c r="BL275" s="108"/>
    </row>
    <row r="276" spans="2:109">
      <c r="B276" s="3" t="s">
        <v>69</v>
      </c>
      <c r="Z276" s="87">
        <v>147</v>
      </c>
      <c r="AA276" s="87">
        <f>AA264-Z264</f>
        <v>39</v>
      </c>
      <c r="AC276" s="87">
        <f>AC264-AA264</f>
        <v>-130</v>
      </c>
      <c r="AD276" s="87">
        <f t="shared" ref="AD276:BL276" si="645">AD264-AC264</f>
        <v>-13</v>
      </c>
      <c r="AE276" s="87">
        <f t="shared" si="645"/>
        <v>-63</v>
      </c>
      <c r="AF276" s="87">
        <f t="shared" si="645"/>
        <v>-40</v>
      </c>
      <c r="AG276" s="87">
        <f t="shared" si="645"/>
        <v>27</v>
      </c>
      <c r="AH276" s="87">
        <f t="shared" si="645"/>
        <v>258</v>
      </c>
      <c r="AI276" s="87">
        <f t="shared" si="645"/>
        <v>222</v>
      </c>
      <c r="AJ276" s="87">
        <f t="shared" si="645"/>
        <v>41</v>
      </c>
      <c r="AK276" s="87">
        <f t="shared" si="645"/>
        <v>543</v>
      </c>
      <c r="AL276" s="87">
        <f t="shared" si="645"/>
        <v>585</v>
      </c>
      <c r="AM276" s="87">
        <f t="shared" si="645"/>
        <v>559</v>
      </c>
      <c r="AN276" s="87">
        <f t="shared" si="645"/>
        <v>501</v>
      </c>
      <c r="AO276" s="87">
        <f t="shared" si="645"/>
        <v>330</v>
      </c>
      <c r="AP276" s="87">
        <f t="shared" si="645"/>
        <v>319</v>
      </c>
      <c r="AQ276" s="87">
        <f t="shared" si="645"/>
        <v>349</v>
      </c>
      <c r="AR276" s="87">
        <f t="shared" si="645"/>
        <v>667</v>
      </c>
      <c r="AS276" s="87">
        <f t="shared" si="645"/>
        <v>340</v>
      </c>
      <c r="AT276" s="87">
        <f t="shared" si="645"/>
        <v>349</v>
      </c>
      <c r="AU276" s="87">
        <f t="shared" si="645"/>
        <v>319</v>
      </c>
      <c r="AV276" s="87">
        <f t="shared" si="645"/>
        <v>314</v>
      </c>
      <c r="AW276" s="87">
        <f t="shared" si="645"/>
        <v>268</v>
      </c>
      <c r="AX276" s="87">
        <f t="shared" si="645"/>
        <v>371</v>
      </c>
      <c r="AY276" s="87">
        <f t="shared" si="645"/>
        <v>157</v>
      </c>
      <c r="AZ276" s="87">
        <f t="shared" si="645"/>
        <v>-85</v>
      </c>
      <c r="BA276" s="87">
        <f t="shared" si="645"/>
        <v>49</v>
      </c>
      <c r="BB276" s="87">
        <f t="shared" si="645"/>
        <v>357</v>
      </c>
      <c r="BC276" s="87">
        <f t="shared" si="645"/>
        <v>47</v>
      </c>
      <c r="BD276" s="87">
        <f t="shared" si="645"/>
        <v>-340</v>
      </c>
      <c r="BE276" s="87">
        <f t="shared" si="645"/>
        <v>357</v>
      </c>
      <c r="BF276" s="87">
        <f t="shared" si="645"/>
        <v>528</v>
      </c>
      <c r="BG276" s="87">
        <f t="shared" si="645"/>
        <v>286</v>
      </c>
      <c r="BH276" s="87">
        <f t="shared" si="645"/>
        <v>376</v>
      </c>
      <c r="BI276" s="87">
        <f t="shared" si="645"/>
        <v>184</v>
      </c>
      <c r="BJ276" s="87">
        <f t="shared" si="645"/>
        <v>164</v>
      </c>
      <c r="BK276" s="87">
        <f t="shared" si="645"/>
        <v>-286</v>
      </c>
      <c r="BL276" s="87">
        <f t="shared" si="645"/>
        <v>146</v>
      </c>
      <c r="BM276" s="577">
        <f t="shared" ref="BM276" si="646">BM264-BL264</f>
        <v>138</v>
      </c>
      <c r="BN276" s="577">
        <f t="shared" ref="BN276:BR276" si="647">BN264-BM264</f>
        <v>156</v>
      </c>
      <c r="BO276" s="577">
        <f t="shared" si="647"/>
        <v>-254</v>
      </c>
      <c r="BP276" s="577">
        <f t="shared" si="647"/>
        <v>-23</v>
      </c>
      <c r="BQ276" s="577">
        <f t="shared" si="647"/>
        <v>-71</v>
      </c>
      <c r="BR276" s="577">
        <f t="shared" si="647"/>
        <v>-49</v>
      </c>
      <c r="BS276" s="87"/>
      <c r="BT276" s="87"/>
      <c r="BU276" s="87"/>
      <c r="BV276" s="87"/>
      <c r="CC276" s="587"/>
      <c r="CD276" s="587"/>
      <c r="CE276" s="587"/>
      <c r="CF276" s="587"/>
      <c r="CG276" s="587"/>
      <c r="CH276" s="587"/>
      <c r="CI276" s="587"/>
      <c r="CJ276" s="587"/>
      <c r="CK276" s="587"/>
      <c r="CL276" s="587"/>
      <c r="CM276" s="587"/>
      <c r="CN276" s="587"/>
      <c r="CO276" s="587"/>
      <c r="CP276" s="587"/>
      <c r="CQ276" s="587"/>
      <c r="CR276" s="587"/>
      <c r="CS276" s="587"/>
      <c r="CT276" s="587"/>
      <c r="CU276" s="587"/>
      <c r="CV276" s="587"/>
      <c r="CW276" s="587"/>
      <c r="CX276" s="587"/>
      <c r="CY276" s="587"/>
      <c r="CZ276" s="587"/>
      <c r="DA276" s="587"/>
      <c r="DB276" s="587"/>
      <c r="DC276" s="587"/>
      <c r="DD276" s="587"/>
      <c r="DE276" s="587"/>
    </row>
    <row r="277" spans="2:109">
      <c r="AB277" s="15"/>
      <c r="AC277" s="15"/>
      <c r="AE277" s="57"/>
    </row>
    <row r="278" spans="2:109">
      <c r="B278" s="3" t="s">
        <v>69</v>
      </c>
      <c r="Z278" s="87"/>
      <c r="AA278" s="87"/>
      <c r="AC278" s="87"/>
      <c r="AD278" s="393"/>
      <c r="AE278" s="393"/>
      <c r="AF278" s="393"/>
      <c r="AG278" s="393" t="str">
        <f t="shared" ref="AG278:AM278" si="648">AG271</f>
        <v>Q3 14</v>
      </c>
      <c r="AH278" s="393" t="str">
        <f t="shared" si="648"/>
        <v>Q4 14</v>
      </c>
      <c r="AI278" s="393" t="str">
        <f t="shared" si="648"/>
        <v>Q1 15</v>
      </c>
      <c r="AJ278" s="393" t="str">
        <f t="shared" si="648"/>
        <v>Q2 15</v>
      </c>
      <c r="AK278" s="393" t="str">
        <f t="shared" si="648"/>
        <v>Q3 15</v>
      </c>
      <c r="AL278" s="393" t="str">
        <f t="shared" si="648"/>
        <v>Q4 15</v>
      </c>
      <c r="AM278" s="393" t="str">
        <f t="shared" si="648"/>
        <v>Q1 16</v>
      </c>
      <c r="AN278" s="393" t="str">
        <f t="shared" ref="AN278:AO278" si="649">AN271</f>
        <v>Q2 16</v>
      </c>
      <c r="AO278" s="393" t="str">
        <f t="shared" si="649"/>
        <v>Q3 16</v>
      </c>
      <c r="AP278" s="393" t="str">
        <f t="shared" ref="AP278" si="650">AP271</f>
        <v>Q4 16</v>
      </c>
      <c r="AQ278" s="393" t="str">
        <f t="shared" ref="AQ278:BQ278" si="651">AQ233</f>
        <v>Q1 17</v>
      </c>
      <c r="AR278" s="393" t="str">
        <f t="shared" si="651"/>
        <v>Q2 17</v>
      </c>
      <c r="AS278" s="393" t="str">
        <f t="shared" si="651"/>
        <v>Q3 17</v>
      </c>
      <c r="AT278" s="393" t="str">
        <f t="shared" si="651"/>
        <v>Q4 17</v>
      </c>
      <c r="AU278" s="393" t="str">
        <f t="shared" si="651"/>
        <v>Q1 18</v>
      </c>
      <c r="AV278" s="393" t="str">
        <f t="shared" si="651"/>
        <v>Q2 18</v>
      </c>
      <c r="AW278" s="393" t="str">
        <f t="shared" si="651"/>
        <v>Q3 18</v>
      </c>
      <c r="AX278" s="393" t="str">
        <f t="shared" si="651"/>
        <v>Q4 18</v>
      </c>
      <c r="AY278" s="393" t="str">
        <f t="shared" si="651"/>
        <v>Q1 19</v>
      </c>
      <c r="AZ278" s="393" t="str">
        <f t="shared" si="651"/>
        <v>Q2 19</v>
      </c>
      <c r="BA278" s="393" t="str">
        <f t="shared" si="651"/>
        <v>Q3 19</v>
      </c>
      <c r="BB278" s="393" t="str">
        <f t="shared" si="651"/>
        <v>Q4 19</v>
      </c>
      <c r="BC278" s="393" t="str">
        <f t="shared" si="651"/>
        <v>Q1 20</v>
      </c>
      <c r="BD278" s="393" t="str">
        <f t="shared" si="651"/>
        <v>Q2 20</v>
      </c>
      <c r="BE278" s="393" t="str">
        <f t="shared" si="651"/>
        <v>Q3 20</v>
      </c>
      <c r="BF278" s="393" t="str">
        <f t="shared" si="651"/>
        <v>Q4 20</v>
      </c>
      <c r="BG278" s="393" t="str">
        <f t="shared" si="651"/>
        <v>Q1 21</v>
      </c>
      <c r="BH278" s="393" t="str">
        <f t="shared" si="651"/>
        <v>Q2 21</v>
      </c>
      <c r="BI278" s="393" t="str">
        <f t="shared" si="651"/>
        <v>Q3 21</v>
      </c>
      <c r="BJ278" s="393" t="str">
        <f t="shared" si="651"/>
        <v>Q4 21</v>
      </c>
      <c r="BK278" s="393" t="str">
        <f t="shared" si="651"/>
        <v>Q1 22</v>
      </c>
      <c r="BL278" s="393" t="str">
        <f t="shared" si="651"/>
        <v>Q2 22</v>
      </c>
      <c r="BM278" s="393" t="str">
        <f t="shared" si="651"/>
        <v>Q3 22</v>
      </c>
      <c r="BN278" s="393" t="str">
        <f t="shared" si="651"/>
        <v>Q4 22</v>
      </c>
      <c r="BO278" s="393" t="str">
        <f t="shared" si="651"/>
        <v>Q1 23</v>
      </c>
      <c r="BP278" s="393" t="str">
        <f t="shared" si="651"/>
        <v>Q2 23</v>
      </c>
      <c r="BQ278" s="393" t="str">
        <f t="shared" si="651"/>
        <v>Q3 23</v>
      </c>
      <c r="BR278" s="393" t="str">
        <f t="shared" ref="BR278" si="652">BR233</f>
        <v>Q4 23</v>
      </c>
      <c r="BS278" s="582"/>
      <c r="BT278" s="582"/>
      <c r="BU278" s="582"/>
      <c r="BV278" s="582"/>
      <c r="BW278" s="582"/>
      <c r="BX278" s="582"/>
      <c r="BY278" s="582"/>
    </row>
    <row r="279" spans="2:109">
      <c r="B279" s="3" t="str">
        <f>B267</f>
        <v>Post-paid</v>
      </c>
      <c r="Z279" s="87"/>
      <c r="AA279" s="87"/>
      <c r="AC279" s="87"/>
      <c r="AD279" s="87"/>
      <c r="AE279" s="87"/>
      <c r="AF279" s="87"/>
      <c r="AG279" s="87">
        <f t="shared" ref="AG279:AP279" si="653">AG267-AF267</f>
        <v>45</v>
      </c>
      <c r="AH279" s="87">
        <f t="shared" si="653"/>
        <v>122</v>
      </c>
      <c r="AI279" s="87">
        <f t="shared" si="653"/>
        <v>68</v>
      </c>
      <c r="AJ279" s="87">
        <f t="shared" si="653"/>
        <v>93</v>
      </c>
      <c r="AK279" s="87">
        <f t="shared" si="653"/>
        <v>176</v>
      </c>
      <c r="AL279" s="87">
        <f t="shared" si="653"/>
        <v>134</v>
      </c>
      <c r="AM279" s="87">
        <f t="shared" si="653"/>
        <v>46</v>
      </c>
      <c r="AN279" s="87">
        <f t="shared" si="653"/>
        <v>120</v>
      </c>
      <c r="AO279" s="87">
        <f t="shared" si="653"/>
        <v>144</v>
      </c>
      <c r="AP279" s="87">
        <f t="shared" si="653"/>
        <v>150</v>
      </c>
      <c r="AQ279" s="87">
        <f t="shared" ref="AQ279:BL279" si="654">AQ267-AP267</f>
        <v>92</v>
      </c>
      <c r="AR279" s="87">
        <f t="shared" si="654"/>
        <v>92</v>
      </c>
      <c r="AS279" s="87">
        <f t="shared" si="654"/>
        <v>153</v>
      </c>
      <c r="AT279" s="87">
        <f t="shared" si="654"/>
        <v>64</v>
      </c>
      <c r="AU279" s="87">
        <f t="shared" si="654"/>
        <v>34</v>
      </c>
      <c r="AV279" s="87">
        <f t="shared" si="654"/>
        <v>118</v>
      </c>
      <c r="AW279" s="87">
        <f t="shared" si="654"/>
        <v>119</v>
      </c>
      <c r="AX279" s="87">
        <f t="shared" si="654"/>
        <v>146</v>
      </c>
      <c r="AY279" s="87">
        <f t="shared" si="654"/>
        <v>47</v>
      </c>
      <c r="AZ279" s="87">
        <f t="shared" si="654"/>
        <v>76</v>
      </c>
      <c r="BA279" s="87">
        <f t="shared" si="654"/>
        <v>128</v>
      </c>
      <c r="BB279" s="87">
        <f t="shared" si="654"/>
        <v>180</v>
      </c>
      <c r="BC279" s="87">
        <f t="shared" si="654"/>
        <v>75</v>
      </c>
      <c r="BD279" s="87">
        <f t="shared" si="654"/>
        <v>47</v>
      </c>
      <c r="BE279" s="87">
        <f t="shared" si="654"/>
        <v>139</v>
      </c>
      <c r="BF279" s="87">
        <f t="shared" si="654"/>
        <v>350</v>
      </c>
      <c r="BG279" s="87">
        <f t="shared" si="654"/>
        <v>69</v>
      </c>
      <c r="BH279" s="87">
        <f t="shared" si="654"/>
        <v>398</v>
      </c>
      <c r="BI279" s="87">
        <f t="shared" si="654"/>
        <v>103</v>
      </c>
      <c r="BJ279" s="87">
        <f t="shared" si="654"/>
        <v>120</v>
      </c>
      <c r="BK279" s="87">
        <f t="shared" si="654"/>
        <v>-189</v>
      </c>
      <c r="BL279" s="87">
        <f t="shared" si="654"/>
        <v>204</v>
      </c>
      <c r="BM279" s="87">
        <f t="shared" ref="BM279:BM280" si="655">BM267-BL267</f>
        <v>90</v>
      </c>
      <c r="BN279" s="87">
        <f t="shared" ref="BN279:BR280" si="656">BN267-BM267</f>
        <v>69</v>
      </c>
      <c r="BO279" s="87">
        <f t="shared" si="656"/>
        <v>-687</v>
      </c>
      <c r="BP279" s="87">
        <f t="shared" si="656"/>
        <v>62</v>
      </c>
      <c r="BQ279" s="87">
        <f t="shared" si="656"/>
        <v>47</v>
      </c>
      <c r="BR279" s="87">
        <f t="shared" si="656"/>
        <v>50</v>
      </c>
      <c r="BS279" s="87"/>
      <c r="BT279" s="87"/>
      <c r="BU279" s="87"/>
      <c r="BV279" s="87"/>
    </row>
    <row r="280" spans="2:109">
      <c r="B280" s="3" t="str">
        <f>B268</f>
        <v>Pre-paid</v>
      </c>
      <c r="Z280" s="87"/>
      <c r="AA280" s="87"/>
      <c r="AC280" s="87"/>
      <c r="AD280" s="87"/>
      <c r="AE280" s="87"/>
      <c r="AF280" s="87"/>
      <c r="AG280" s="87">
        <f t="shared" ref="AG280:BL280" si="657">AG268-AF268</f>
        <v>-18</v>
      </c>
      <c r="AH280" s="87">
        <f t="shared" si="657"/>
        <v>136</v>
      </c>
      <c r="AI280" s="87">
        <f t="shared" si="657"/>
        <v>154</v>
      </c>
      <c r="AJ280" s="87">
        <f t="shared" si="657"/>
        <v>-52</v>
      </c>
      <c r="AK280" s="87">
        <f t="shared" si="657"/>
        <v>367</v>
      </c>
      <c r="AL280" s="87">
        <f t="shared" si="657"/>
        <v>451</v>
      </c>
      <c r="AM280" s="87">
        <f t="shared" si="657"/>
        <v>513</v>
      </c>
      <c r="AN280" s="87">
        <f t="shared" si="657"/>
        <v>381</v>
      </c>
      <c r="AO280" s="87">
        <f t="shared" si="657"/>
        <v>175</v>
      </c>
      <c r="AP280" s="87">
        <f t="shared" si="657"/>
        <v>151</v>
      </c>
      <c r="AQ280" s="87">
        <f t="shared" si="657"/>
        <v>221</v>
      </c>
      <c r="AR280" s="87">
        <f t="shared" si="657"/>
        <v>545</v>
      </c>
      <c r="AS280" s="87">
        <f t="shared" si="657"/>
        <v>282</v>
      </c>
      <c r="AT280" s="87">
        <f t="shared" si="657"/>
        <v>285</v>
      </c>
      <c r="AU280" s="87">
        <f t="shared" si="657"/>
        <v>285</v>
      </c>
      <c r="AV280" s="87">
        <f t="shared" si="657"/>
        <v>196</v>
      </c>
      <c r="AW280" s="87">
        <f t="shared" si="657"/>
        <v>149</v>
      </c>
      <c r="AX280" s="87">
        <f t="shared" si="657"/>
        <v>225</v>
      </c>
      <c r="AY280" s="87">
        <f t="shared" si="657"/>
        <v>110</v>
      </c>
      <c r="AZ280" s="87">
        <f t="shared" si="657"/>
        <v>-160</v>
      </c>
      <c r="BA280" s="87">
        <f t="shared" si="657"/>
        <v>-80</v>
      </c>
      <c r="BB280" s="87">
        <f t="shared" si="657"/>
        <v>177</v>
      </c>
      <c r="BC280" s="87">
        <f t="shared" si="657"/>
        <v>-29</v>
      </c>
      <c r="BD280" s="87">
        <f t="shared" si="657"/>
        <v>-387</v>
      </c>
      <c r="BE280" s="87">
        <f t="shared" si="657"/>
        <v>219</v>
      </c>
      <c r="BF280" s="87">
        <f t="shared" si="657"/>
        <v>178</v>
      </c>
      <c r="BG280" s="87">
        <f t="shared" si="657"/>
        <v>218</v>
      </c>
      <c r="BH280" s="87">
        <f t="shared" si="657"/>
        <v>-24</v>
      </c>
      <c r="BI280" s="87">
        <f t="shared" si="657"/>
        <v>82</v>
      </c>
      <c r="BJ280" s="87">
        <f t="shared" si="657"/>
        <v>44</v>
      </c>
      <c r="BK280" s="87">
        <f t="shared" si="657"/>
        <v>-97</v>
      </c>
      <c r="BL280" s="87">
        <f t="shared" si="657"/>
        <v>-58</v>
      </c>
      <c r="BM280" s="87">
        <f t="shared" si="655"/>
        <v>47</v>
      </c>
      <c r="BN280" s="87">
        <f t="shared" si="656"/>
        <v>88</v>
      </c>
      <c r="BO280" s="87">
        <f t="shared" si="656"/>
        <v>-143</v>
      </c>
      <c r="BP280" s="87">
        <f t="shared" si="656"/>
        <v>-76</v>
      </c>
      <c r="BQ280" s="87">
        <f t="shared" si="656"/>
        <v>-97</v>
      </c>
      <c r="BR280" s="87">
        <f t="shared" si="656"/>
        <v>-109</v>
      </c>
      <c r="BS280" s="87"/>
      <c r="BT280" s="87"/>
      <c r="BU280" s="87"/>
      <c r="BV280" s="87"/>
    </row>
    <row r="281" spans="2:109">
      <c r="AB281" s="15"/>
      <c r="AC281" s="15"/>
      <c r="AE281" s="57"/>
    </row>
    <row r="282" spans="2:109">
      <c r="B282" s="3" t="s">
        <v>1062</v>
      </c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N282" s="3"/>
      <c r="BO282" s="3"/>
      <c r="BP282" s="3"/>
      <c r="BQ282" s="3"/>
      <c r="BR282" s="3"/>
      <c r="BS282" s="3"/>
      <c r="BT282" s="3"/>
      <c r="BU282" s="3"/>
      <c r="BV282" s="3"/>
    </row>
    <row r="283" spans="2:109">
      <c r="B283" s="3" t="s">
        <v>1063</v>
      </c>
      <c r="Z283" s="3"/>
      <c r="AA283" s="3"/>
      <c r="AB283" s="7">
        <f>Interims!AC126</f>
        <v>12158</v>
      </c>
      <c r="AC283" s="7">
        <f>Interims!AD126</f>
        <v>33997</v>
      </c>
      <c r="AD283" s="7">
        <f>Interims!AE126</f>
        <v>35749</v>
      </c>
      <c r="AE283" s="7">
        <f>Interims!AF126</f>
        <v>35494</v>
      </c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N283" s="3"/>
      <c r="BO283" s="3"/>
      <c r="BP283" s="3"/>
      <c r="BQ283" s="3"/>
      <c r="BR283" s="3"/>
      <c r="BS283" s="3"/>
      <c r="BT283" s="3"/>
      <c r="BU283" s="3"/>
      <c r="BV283" s="3"/>
    </row>
    <row r="284" spans="2:109">
      <c r="B284" s="3" t="s">
        <v>1108</v>
      </c>
      <c r="Z284" s="3"/>
      <c r="AA284" s="3"/>
      <c r="AB284" s="3"/>
      <c r="AC284" s="7">
        <f>AC283/AD286</f>
        <v>182.80785299806575</v>
      </c>
      <c r="AD284" s="7">
        <f>AD283/AE286</f>
        <v>181.98313405797103</v>
      </c>
      <c r="AE284" s="7">
        <f>AE283/AF286</f>
        <v>178.4292972972973</v>
      </c>
      <c r="AF284" s="7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N284" s="3"/>
      <c r="BO284" s="3"/>
      <c r="BP284" s="3"/>
      <c r="BQ284" s="3"/>
      <c r="BR284" s="3"/>
      <c r="BS284" s="3"/>
      <c r="BT284" s="3"/>
      <c r="BU284" s="3"/>
      <c r="BV284" s="3"/>
    </row>
    <row r="285" spans="2:109">
      <c r="B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N285" s="3"/>
      <c r="BO285" s="3"/>
      <c r="BP285" s="3"/>
      <c r="BQ285" s="3"/>
      <c r="BR285" s="3"/>
      <c r="BS285" s="3"/>
      <c r="BT285" s="3"/>
      <c r="BU285" s="3"/>
      <c r="BV285" s="3"/>
    </row>
    <row r="286" spans="2:109">
      <c r="B286" s="3" t="s">
        <v>1064</v>
      </c>
      <c r="Z286" s="3"/>
      <c r="AA286" s="3"/>
      <c r="AC286" s="7">
        <f t="shared" ref="AC286:AL286" si="658">AC288/AC287</f>
        <v>181.72043010752688</v>
      </c>
      <c r="AD286" s="7">
        <f t="shared" si="658"/>
        <v>185.97122302158274</v>
      </c>
      <c r="AE286" s="7">
        <f t="shared" si="658"/>
        <v>196.44128113879003</v>
      </c>
      <c r="AF286" s="7">
        <f t="shared" si="658"/>
        <v>198.92473118279571</v>
      </c>
      <c r="AG286" s="7">
        <f t="shared" si="658"/>
        <v>204.96453900709221</v>
      </c>
      <c r="AH286" s="7">
        <f t="shared" si="658"/>
        <v>204.09556313993173</v>
      </c>
      <c r="AI286" s="7">
        <f t="shared" si="658"/>
        <v>204.20836215784828</v>
      </c>
      <c r="AJ286" s="7">
        <f t="shared" si="658"/>
        <v>196.81528662420382</v>
      </c>
      <c r="AK286" s="7">
        <f t="shared" si="658"/>
        <v>210.62595334875985</v>
      </c>
      <c r="AL286" s="7">
        <f t="shared" si="658"/>
        <v>209.97777985419035</v>
      </c>
      <c r="AM286" s="7">
        <f>AM288/AM287</f>
        <v>203.33885703549026</v>
      </c>
      <c r="AN286" s="7">
        <f t="shared" ref="AN286:AO286" si="659">AN288/AN287</f>
        <v>205.96288408883481</v>
      </c>
      <c r="AO286" s="7">
        <f t="shared" si="659"/>
        <v>195.16509433962264</v>
      </c>
      <c r="AP286" s="7">
        <f t="shared" ref="AP286:AQ286" si="660">AP288/AP287</f>
        <v>198.32985386221293</v>
      </c>
      <c r="AQ286" s="7">
        <f t="shared" si="660"/>
        <v>202.55040602710963</v>
      </c>
      <c r="AR286" s="7">
        <f t="shared" ref="AR286:AX286" si="661">AR288/AR287</f>
        <v>203.68098159509205</v>
      </c>
      <c r="AS286" s="7">
        <f t="shared" si="661"/>
        <v>197.53846153846155</v>
      </c>
      <c r="AT286" s="7">
        <f t="shared" si="661"/>
        <v>194.76923076923077</v>
      </c>
      <c r="AU286" s="7">
        <f t="shared" si="661"/>
        <v>185.94705709929985</v>
      </c>
      <c r="AV286" s="7">
        <f t="shared" si="661"/>
        <v>190.86074480385577</v>
      </c>
      <c r="AW286" s="7">
        <f t="shared" si="661"/>
        <v>201.51975683890578</v>
      </c>
      <c r="AX286" s="7">
        <f t="shared" si="661"/>
        <v>202.67857142857144</v>
      </c>
      <c r="AY286" s="7">
        <f t="shared" ref="AY286:AZ286" si="662">AY288/AY287</f>
        <v>201.20481927710844</v>
      </c>
      <c r="AZ286" s="7">
        <f t="shared" si="662"/>
        <v>205.72289156626508</v>
      </c>
      <c r="BA286" s="7">
        <f t="shared" ref="BA286:BM286" si="663">BA288/BA287</f>
        <v>204.49101796407186</v>
      </c>
      <c r="BB286" s="7">
        <f t="shared" si="663"/>
        <v>224.70238095238096</v>
      </c>
      <c r="BC286" s="7">
        <f t="shared" si="663"/>
        <v>236.11118012338187</v>
      </c>
      <c r="BD286" s="7">
        <f t="shared" si="663"/>
        <v>239.74558755803247</v>
      </c>
      <c r="BE286" s="7">
        <f t="shared" si="663"/>
        <v>220.30450385044432</v>
      </c>
      <c r="BF286" s="7">
        <f t="shared" si="663"/>
        <v>211.11111111111111</v>
      </c>
      <c r="BG286" s="7">
        <f t="shared" si="663"/>
        <v>197.8142076502732</v>
      </c>
      <c r="BH286" s="7">
        <f t="shared" si="663"/>
        <v>188.91820580474933</v>
      </c>
      <c r="BI286" s="7">
        <f t="shared" si="663"/>
        <v>191.11111111111111</v>
      </c>
      <c r="BJ286" s="7">
        <f t="shared" si="663"/>
        <v>205.72139303482589</v>
      </c>
      <c r="BK286" s="7">
        <f t="shared" si="663"/>
        <v>212.49123911205481</v>
      </c>
      <c r="BL286" s="7">
        <f t="shared" si="663"/>
        <v>225.37020770051723</v>
      </c>
      <c r="BM286" s="7">
        <f t="shared" si="663"/>
        <v>238.67348086707833</v>
      </c>
      <c r="BN286" s="7">
        <f>BN288/BN287</f>
        <v>234.70437017994857</v>
      </c>
      <c r="BO286" s="7">
        <f t="shared" ref="BO286:BP286" si="664">BO288/BO287</f>
        <v>212.47093991386197</v>
      </c>
      <c r="BP286" s="7">
        <f t="shared" si="664"/>
        <v>216.60871228979394</v>
      </c>
      <c r="BQ286" s="7">
        <f t="shared" ref="BQ286:BR286" si="665">BQ288/BQ287</f>
        <v>232.07420847197773</v>
      </c>
      <c r="BR286" s="7">
        <f t="shared" si="665"/>
        <v>237.03703703703704</v>
      </c>
      <c r="BS286" s="7"/>
      <c r="BT286" s="7"/>
      <c r="BU286" s="7"/>
      <c r="BV286" s="7"/>
      <c r="BW286" s="7"/>
      <c r="BX286" s="7"/>
      <c r="BY286" s="7"/>
    </row>
    <row r="287" spans="2:109">
      <c r="B287" s="3" t="s">
        <v>1065</v>
      </c>
      <c r="Z287" s="3"/>
      <c r="AA287" s="3"/>
      <c r="AC287" s="3">
        <v>2.79</v>
      </c>
      <c r="AD287" s="3">
        <v>2.78</v>
      </c>
      <c r="AE287" s="3">
        <v>2.81</v>
      </c>
      <c r="AF287" s="3">
        <v>2.79</v>
      </c>
      <c r="AG287" s="3">
        <v>2.82</v>
      </c>
      <c r="AH287" s="3">
        <v>2.93</v>
      </c>
      <c r="AI287" s="380">
        <v>3.0581968750000006</v>
      </c>
      <c r="AJ287" s="3">
        <v>3.14</v>
      </c>
      <c r="AK287" s="380">
        <v>3.212360606060606</v>
      </c>
      <c r="AL287" s="380">
        <v>3.3241742424242418</v>
      </c>
      <c r="AM287" s="380">
        <v>3.4471492307692309</v>
      </c>
      <c r="AN287" s="380">
        <f>AN248</f>
        <v>3.2869999999999999</v>
      </c>
      <c r="AO287" s="380">
        <f>AO248</f>
        <v>3.3919999999999999</v>
      </c>
      <c r="AP287" s="380">
        <f>AP248</f>
        <v>3.3530000000000002</v>
      </c>
      <c r="AQ287" s="380">
        <f t="shared" ref="AQ287" si="666">AQ248</f>
        <v>3.2387000000000001</v>
      </c>
      <c r="AR287" s="380">
        <v>3.26</v>
      </c>
      <c r="AS287" s="380">
        <v>3.25</v>
      </c>
      <c r="AT287" s="380">
        <v>3.25</v>
      </c>
      <c r="AU287" s="380">
        <v>3.2383800000000003</v>
      </c>
      <c r="AV287" s="380">
        <v>3.2585553846153852</v>
      </c>
      <c r="AW287" s="380">
        <v>3.29</v>
      </c>
      <c r="AX287" s="380">
        <v>3.36</v>
      </c>
      <c r="AY287" s="380">
        <v>3.32</v>
      </c>
      <c r="AZ287" s="380">
        <v>3.32</v>
      </c>
      <c r="BA287" s="380">
        <v>3.34</v>
      </c>
      <c r="BB287" s="380">
        <v>3.36</v>
      </c>
      <c r="BC287" s="380">
        <v>3.4058107692307695</v>
      </c>
      <c r="BD287" s="380">
        <v>3.4307707692307696</v>
      </c>
      <c r="BE287" s="380">
        <v>3.5436681818181817</v>
      </c>
      <c r="BF287" s="380">
        <v>3.6</v>
      </c>
      <c r="BG287" s="380">
        <v>3.66</v>
      </c>
      <c r="BH287" s="380">
        <v>3.79</v>
      </c>
      <c r="BI287" s="380">
        <v>4.05</v>
      </c>
      <c r="BJ287" s="380">
        <v>4.0199999999999996</v>
      </c>
      <c r="BK287" s="380">
        <v>3.8033031249999993</v>
      </c>
      <c r="BL287" s="380">
        <v>3.7479999999999998</v>
      </c>
      <c r="BM287" s="380">
        <v>3.8923469696969697</v>
      </c>
      <c r="BN287" s="380">
        <v>3.89</v>
      </c>
      <c r="BO287" s="380">
        <v>3.8157015384615391</v>
      </c>
      <c r="BP287" s="380">
        <v>3.6987538461538465</v>
      </c>
      <c r="BQ287" s="619">
        <v>3.6766276923076919</v>
      </c>
      <c r="BR287" s="619">
        <v>3.78</v>
      </c>
      <c r="BS287" s="619">
        <f t="shared" ref="BS287:BV288" si="667">BT287</f>
        <v>3.81</v>
      </c>
      <c r="BT287" s="619">
        <f t="shared" si="667"/>
        <v>3.81</v>
      </c>
      <c r="BU287" s="619">
        <f t="shared" si="667"/>
        <v>3.81</v>
      </c>
      <c r="BV287" s="619">
        <f t="shared" si="667"/>
        <v>3.81</v>
      </c>
      <c r="BW287" s="588">
        <f>Master!J204</f>
        <v>3.81</v>
      </c>
      <c r="BY287" s="441"/>
    </row>
    <row r="288" spans="2:109">
      <c r="B288" s="3" t="s">
        <v>259</v>
      </c>
      <c r="Z288" s="3"/>
      <c r="AA288" s="3"/>
      <c r="AC288" s="3">
        <v>507</v>
      </c>
      <c r="AD288" s="3">
        <v>517</v>
      </c>
      <c r="AE288" s="3">
        <v>552</v>
      </c>
      <c r="AF288" s="3">
        <v>555</v>
      </c>
      <c r="AG288" s="3">
        <v>578</v>
      </c>
      <c r="AH288" s="3">
        <v>598</v>
      </c>
      <c r="AI288" s="7">
        <v>624.50937499999998</v>
      </c>
      <c r="AJ288" s="7">
        <v>618</v>
      </c>
      <c r="AK288" s="7">
        <v>676.60651515151517</v>
      </c>
      <c r="AL288" s="7">
        <v>698.00272727272738</v>
      </c>
      <c r="AM288" s="7">
        <v>700.93938461538482</v>
      </c>
      <c r="AN288" s="7">
        <v>677</v>
      </c>
      <c r="AO288" s="7">
        <v>662</v>
      </c>
      <c r="AP288" s="7">
        <v>665</v>
      </c>
      <c r="AQ288" s="7">
        <v>656</v>
      </c>
      <c r="AR288" s="7">
        <v>664</v>
      </c>
      <c r="AS288" s="7">
        <v>642</v>
      </c>
      <c r="AT288" s="7">
        <v>633</v>
      </c>
      <c r="AU288" s="7">
        <v>602.16723076923074</v>
      </c>
      <c r="AV288" s="7">
        <v>621.93030769230711</v>
      </c>
      <c r="AW288" s="7">
        <v>663</v>
      </c>
      <c r="AX288" s="7">
        <v>681</v>
      </c>
      <c r="AY288" s="7">
        <v>668</v>
      </c>
      <c r="AZ288" s="7">
        <v>683</v>
      </c>
      <c r="BA288" s="7">
        <v>683</v>
      </c>
      <c r="BB288" s="7">
        <v>755</v>
      </c>
      <c r="BC288" s="7">
        <v>804.15</v>
      </c>
      <c r="BD288" s="7">
        <v>822.51215384615386</v>
      </c>
      <c r="BE288" s="7">
        <v>780.68606060606066</v>
      </c>
      <c r="BF288" s="7">
        <v>760</v>
      </c>
      <c r="BG288" s="7">
        <v>724</v>
      </c>
      <c r="BH288" s="7">
        <v>716</v>
      </c>
      <c r="BI288" s="7">
        <v>774</v>
      </c>
      <c r="BJ288" s="7">
        <v>827</v>
      </c>
      <c r="BK288" s="7">
        <v>808.16859375000013</v>
      </c>
      <c r="BL288" s="7">
        <v>844.68753846153857</v>
      </c>
      <c r="BM288" s="7">
        <v>929</v>
      </c>
      <c r="BN288" s="7">
        <v>913</v>
      </c>
      <c r="BO288" s="428">
        <v>810.72569230769238</v>
      </c>
      <c r="BP288" s="428">
        <v>801.18230769230729</v>
      </c>
      <c r="BQ288" s="428">
        <v>853.25046153846165</v>
      </c>
      <c r="BR288" s="428">
        <v>896</v>
      </c>
      <c r="BS288" s="428">
        <f t="shared" si="667"/>
        <v>930.3</v>
      </c>
      <c r="BT288" s="428">
        <f t="shared" si="667"/>
        <v>930.3</v>
      </c>
      <c r="BU288" s="428">
        <f t="shared" si="667"/>
        <v>930.3</v>
      </c>
      <c r="BV288" s="428">
        <f t="shared" si="667"/>
        <v>930.3</v>
      </c>
      <c r="BW288" s="580">
        <f>Master!J175</f>
        <v>930.3</v>
      </c>
      <c r="BY288" s="374"/>
    </row>
    <row r="289" spans="2:77">
      <c r="B289" s="3"/>
      <c r="Z289" s="3"/>
      <c r="AA289" s="3"/>
      <c r="AC289" s="3"/>
      <c r="AD289" s="3"/>
      <c r="AE289" s="3"/>
      <c r="AF289" s="5">
        <f>AH293/AG293-1</f>
        <v>9.999172082626151E-2</v>
      </c>
      <c r="AG289" s="5">
        <f>AI293/AH293-1</f>
        <v>0.18737416502022763</v>
      </c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N289" s="3"/>
      <c r="BO289" s="3"/>
      <c r="BP289" s="3"/>
      <c r="BQ289" s="3"/>
      <c r="BR289" s="3"/>
      <c r="BS289" s="3"/>
      <c r="BT289" s="3"/>
      <c r="BU289" s="3"/>
      <c r="BV289" s="3"/>
    </row>
    <row r="290" spans="2:77">
      <c r="B290" s="3"/>
      <c r="Z290" s="3"/>
      <c r="AA290" s="3"/>
      <c r="AC290" s="3"/>
      <c r="AD290" s="3"/>
      <c r="AE290" s="3"/>
      <c r="AF290" s="3"/>
      <c r="AG290" s="5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N290" s="3"/>
      <c r="BO290" s="3"/>
      <c r="BP290" s="3"/>
      <c r="BQ290" s="3"/>
      <c r="BR290" s="3"/>
      <c r="BS290" s="3"/>
      <c r="BT290" s="3"/>
      <c r="BU290" s="3"/>
      <c r="BV290" s="3"/>
    </row>
    <row r="291" spans="2:77">
      <c r="B291" s="272" t="s">
        <v>1109</v>
      </c>
      <c r="C291" s="249"/>
      <c r="D291" s="249"/>
      <c r="E291" s="249"/>
      <c r="F291" s="249"/>
      <c r="G291" s="249"/>
      <c r="H291" s="249"/>
      <c r="I291" s="249"/>
      <c r="J291" s="249"/>
      <c r="K291" s="249"/>
      <c r="L291" s="249"/>
      <c r="M291" s="249"/>
      <c r="N291" s="249"/>
      <c r="O291" s="249"/>
      <c r="P291" s="249"/>
      <c r="Q291" s="249"/>
      <c r="R291" s="249"/>
      <c r="S291" s="249"/>
      <c r="T291" s="249"/>
      <c r="U291" s="249"/>
      <c r="V291" s="249"/>
      <c r="W291" s="249"/>
      <c r="X291" s="249"/>
      <c r="Y291" s="249"/>
      <c r="Z291" s="249"/>
      <c r="AA291" s="249"/>
      <c r="AB291" s="249"/>
      <c r="AC291" s="13" t="str">
        <f t="shared" ref="AC291:BI291" si="668">AC233</f>
        <v>Q3 13</v>
      </c>
      <c r="AD291" s="13" t="str">
        <f t="shared" si="668"/>
        <v>Q4 13</v>
      </c>
      <c r="AE291" s="13" t="str">
        <f t="shared" si="668"/>
        <v>Q1 14</v>
      </c>
      <c r="AF291" s="13" t="str">
        <f t="shared" si="668"/>
        <v>Q2 14</v>
      </c>
      <c r="AG291" s="13" t="str">
        <f t="shared" si="668"/>
        <v>Q3 14</v>
      </c>
      <c r="AH291" s="13" t="str">
        <f t="shared" si="668"/>
        <v>Q4 14</v>
      </c>
      <c r="AI291" s="13" t="str">
        <f t="shared" si="668"/>
        <v>Q1 15</v>
      </c>
      <c r="AJ291" s="13" t="str">
        <f t="shared" si="668"/>
        <v>Q2 15</v>
      </c>
      <c r="AK291" s="13" t="str">
        <f t="shared" si="668"/>
        <v>Q3 15</v>
      </c>
      <c r="AL291" s="13" t="str">
        <f t="shared" si="668"/>
        <v>Q4 15</v>
      </c>
      <c r="AM291" s="13" t="str">
        <f t="shared" si="668"/>
        <v>Q1 16</v>
      </c>
      <c r="AN291" s="13" t="str">
        <f t="shared" si="668"/>
        <v>Q2 16</v>
      </c>
      <c r="AO291" s="13" t="str">
        <f t="shared" si="668"/>
        <v>Q3 16</v>
      </c>
      <c r="AP291" s="13" t="str">
        <f t="shared" si="668"/>
        <v>Q4 16</v>
      </c>
      <c r="AQ291" s="13" t="str">
        <f t="shared" si="668"/>
        <v>Q1 17</v>
      </c>
      <c r="AR291" s="13" t="str">
        <f t="shared" si="668"/>
        <v>Q2 17</v>
      </c>
      <c r="AS291" s="13" t="str">
        <f t="shared" si="668"/>
        <v>Q3 17</v>
      </c>
      <c r="AT291" s="13" t="str">
        <f t="shared" si="668"/>
        <v>Q4 17</v>
      </c>
      <c r="AU291" s="13" t="str">
        <f t="shared" si="668"/>
        <v>Q1 18</v>
      </c>
      <c r="AV291" s="13" t="str">
        <f t="shared" si="668"/>
        <v>Q2 18</v>
      </c>
      <c r="AW291" s="13" t="str">
        <f t="shared" si="668"/>
        <v>Q3 18</v>
      </c>
      <c r="AX291" s="13" t="str">
        <f t="shared" si="668"/>
        <v>Q4 18</v>
      </c>
      <c r="AY291" s="13" t="str">
        <f t="shared" si="668"/>
        <v>Q1 19</v>
      </c>
      <c r="AZ291" s="13" t="str">
        <f t="shared" si="668"/>
        <v>Q2 19</v>
      </c>
      <c r="BA291" s="13" t="str">
        <f t="shared" si="668"/>
        <v>Q3 19</v>
      </c>
      <c r="BB291" s="13" t="str">
        <f t="shared" si="668"/>
        <v>Q4 19</v>
      </c>
      <c r="BC291" s="13" t="str">
        <f t="shared" si="668"/>
        <v>Q1 20</v>
      </c>
      <c r="BD291" s="13" t="str">
        <f t="shared" si="668"/>
        <v>Q2 20</v>
      </c>
      <c r="BE291" s="13" t="str">
        <f t="shared" si="668"/>
        <v>Q3 20</v>
      </c>
      <c r="BF291" s="13" t="str">
        <f t="shared" si="668"/>
        <v>Q4 20</v>
      </c>
      <c r="BG291" s="13" t="str">
        <f t="shared" si="668"/>
        <v>Q1 21</v>
      </c>
      <c r="BH291" s="13" t="str">
        <f t="shared" si="668"/>
        <v>Q2 21</v>
      </c>
      <c r="BI291" s="13" t="str">
        <f t="shared" si="668"/>
        <v>Q3 21</v>
      </c>
      <c r="BJ291" s="13" t="s">
        <v>2929</v>
      </c>
      <c r="BK291" s="13" t="s">
        <v>2931</v>
      </c>
      <c r="BL291" s="13" t="s">
        <v>2934</v>
      </c>
      <c r="BM291" s="13" t="s">
        <v>2933</v>
      </c>
      <c r="BN291" s="13" t="str">
        <f t="shared" ref="BN291:BQ291" si="669">BN233</f>
        <v>Q4 22</v>
      </c>
      <c r="BO291" s="13" t="str">
        <f t="shared" si="669"/>
        <v>Q1 23</v>
      </c>
      <c r="BP291" s="13" t="str">
        <f t="shared" si="669"/>
        <v>Q2 23</v>
      </c>
      <c r="BQ291" s="13" t="str">
        <f t="shared" si="669"/>
        <v>Q3 23</v>
      </c>
      <c r="BR291" s="13" t="str">
        <f t="shared" ref="BR291" si="670">BR233</f>
        <v>Q4 23</v>
      </c>
      <c r="BS291" s="403"/>
      <c r="BT291" s="403"/>
      <c r="BU291" s="403"/>
      <c r="BV291" s="403"/>
      <c r="BW291" s="403"/>
      <c r="BX291" s="403"/>
      <c r="BY291" s="403"/>
    </row>
    <row r="292" spans="2:77">
      <c r="B292" s="3" t="s">
        <v>1716</v>
      </c>
      <c r="AC292" s="152"/>
      <c r="AD292" s="152"/>
      <c r="AE292" s="152"/>
      <c r="AF292" s="152"/>
      <c r="AG292" s="153">
        <f t="shared" ref="AG292:AL292" si="671">AG235</f>
        <v>181.11425605536331</v>
      </c>
      <c r="AH292" s="153">
        <f t="shared" si="671"/>
        <v>215.28150501672243</v>
      </c>
      <c r="AI292" s="153">
        <f t="shared" si="671"/>
        <v>240.41620764800373</v>
      </c>
      <c r="AJ292" s="153">
        <f t="shared" si="671"/>
        <v>258.98394822006475</v>
      </c>
      <c r="AK292" s="153">
        <f t="shared" si="671"/>
        <v>302.88290206272256</v>
      </c>
      <c r="AL292" s="153">
        <f t="shared" si="671"/>
        <v>350.54185281467585</v>
      </c>
      <c r="AM292" s="153">
        <f t="shared" ref="AM292:AR292" si="672">AM235</f>
        <v>391.08117926580275</v>
      </c>
      <c r="AN292" s="153">
        <f t="shared" si="672"/>
        <v>401.87337813884784</v>
      </c>
      <c r="AO292" s="153">
        <f t="shared" si="672"/>
        <v>461.51695468277944</v>
      </c>
      <c r="AP292" s="153">
        <f t="shared" si="672"/>
        <v>483.68411578947371</v>
      </c>
      <c r="AQ292" s="153">
        <f t="shared" si="672"/>
        <v>532.37118658536588</v>
      </c>
      <c r="AR292" s="153">
        <f t="shared" si="672"/>
        <v>575.22307228915656</v>
      </c>
      <c r="AS292" s="153">
        <f t="shared" ref="AS292" si="673">AS235</f>
        <v>618.11760124610589</v>
      </c>
      <c r="AT292" s="153">
        <f t="shared" ref="AT292:AU292" si="674">AT235</f>
        <v>702.35426540284357</v>
      </c>
      <c r="AU292" s="153">
        <f t="shared" si="674"/>
        <v>599.13828020685298</v>
      </c>
      <c r="AV292" s="153">
        <f t="shared" ref="AV292" si="675">AV235</f>
        <v>601.9257659193579</v>
      </c>
      <c r="AW292" s="153">
        <f t="shared" ref="AW292:AX292" si="676">AW235</f>
        <v>642.5970437405731</v>
      </c>
      <c r="AX292" s="153">
        <f t="shared" si="676"/>
        <v>678.90255506607923</v>
      </c>
      <c r="AY292" s="153">
        <f t="shared" ref="AY292:BD292" si="677">AY235</f>
        <v>644.86029940119761</v>
      </c>
      <c r="AZ292" s="153">
        <f t="shared" si="677"/>
        <v>697.09792093704243</v>
      </c>
      <c r="BA292" s="153">
        <f t="shared" si="677"/>
        <v>741.6804978038067</v>
      </c>
      <c r="BB292" s="153">
        <f t="shared" si="677"/>
        <v>785.81276821192046</v>
      </c>
      <c r="BC292" s="153">
        <f t="shared" si="677"/>
        <v>695.88403189607766</v>
      </c>
      <c r="BD292" s="153">
        <f t="shared" si="677"/>
        <v>530.07857743883699</v>
      </c>
      <c r="BE292" s="153">
        <f t="shared" ref="BE292:BF292" si="678">BE235</f>
        <v>754.58284826011618</v>
      </c>
      <c r="BF292" s="153">
        <f t="shared" si="678"/>
        <v>887.19157894736838</v>
      </c>
      <c r="BG292" s="153">
        <f t="shared" ref="BG292:BH292" si="679">BG235</f>
        <v>878.0461325966852</v>
      </c>
      <c r="BH292" s="153">
        <f t="shared" si="679"/>
        <v>985.87639664804476</v>
      </c>
      <c r="BI292" s="153">
        <f t="shared" ref="BI292:BM292" si="680">BI235</f>
        <v>1029.9558139534884</v>
      </c>
      <c r="BJ292" s="153">
        <f t="shared" si="680"/>
        <v>1093.2990326481256</v>
      </c>
      <c r="BK292" s="153">
        <f t="shared" si="680"/>
        <v>1085.1553267022134</v>
      </c>
      <c r="BL292" s="153">
        <f t="shared" si="680"/>
        <v>1016.194652952234</v>
      </c>
      <c r="BM292" s="153">
        <f t="shared" si="680"/>
        <v>919.67485957203905</v>
      </c>
      <c r="BN292" s="153">
        <f t="shared" ref="BN292:BQ292" si="681">BN235</f>
        <v>939.3774808324207</v>
      </c>
      <c r="BO292" s="153">
        <f t="shared" ref="BO292:BP292" si="682">BO235</f>
        <v>923.38274626891734</v>
      </c>
      <c r="BP292" s="153">
        <f t="shared" si="682"/>
        <v>897.9463380945665</v>
      </c>
      <c r="BQ292" s="153">
        <f t="shared" si="681"/>
        <v>885.01432947815101</v>
      </c>
      <c r="BR292" s="153">
        <f t="shared" ref="BR292" si="683">BR235</f>
        <v>926.83406249999996</v>
      </c>
      <c r="BS292" s="153"/>
      <c r="BT292" s="153"/>
      <c r="BU292" s="153"/>
      <c r="BV292" s="153"/>
      <c r="BW292" s="153"/>
      <c r="BX292" s="153"/>
      <c r="BY292" s="153"/>
    </row>
    <row r="293" spans="2:77">
      <c r="B293" s="3" t="s">
        <v>82</v>
      </c>
      <c r="AC293" s="7"/>
      <c r="AD293" s="7"/>
      <c r="AE293" s="7"/>
      <c r="AF293" s="7"/>
      <c r="AG293" s="7">
        <f t="shared" ref="AG293:AL293" si="684">AG249</f>
        <v>164.75074000000001</v>
      </c>
      <c r="AH293" s="7">
        <f t="shared" si="684"/>
        <v>181.22445000000002</v>
      </c>
      <c r="AI293" s="7">
        <f t="shared" si="684"/>
        <v>215.18123000000003</v>
      </c>
      <c r="AJ293" s="7">
        <f t="shared" si="684"/>
        <v>219.93135999999998</v>
      </c>
      <c r="AK293" s="7">
        <f t="shared" si="684"/>
        <v>248.25823</v>
      </c>
      <c r="AL293" s="7">
        <f t="shared" si="684"/>
        <v>297.48158000000001</v>
      </c>
      <c r="AM293" s="7">
        <f t="shared" ref="AM293:AR293" si="685">AM249</f>
        <v>340.97302999999999</v>
      </c>
      <c r="AN293" s="7">
        <f t="shared" si="685"/>
        <v>356.97477400000002</v>
      </c>
      <c r="AO293" s="7">
        <f t="shared" si="685"/>
        <v>394.57440000000003</v>
      </c>
      <c r="AP293" s="7">
        <f t="shared" si="685"/>
        <v>422.47129400000006</v>
      </c>
      <c r="AQ293" s="7">
        <f t="shared" si="685"/>
        <v>443.06063740000002</v>
      </c>
      <c r="AR293" s="7">
        <f t="shared" si="685"/>
        <v>454.12249999999995</v>
      </c>
      <c r="AS293" s="7">
        <f t="shared" ref="AS293" si="686">AS249</f>
        <v>506.11583999999999</v>
      </c>
      <c r="AT293" s="7">
        <f t="shared" ref="AT293:AU293" si="687">AT249</f>
        <v>533.419985</v>
      </c>
      <c r="AU293" s="7">
        <f t="shared" si="687"/>
        <v>416.820921</v>
      </c>
      <c r="AV293" s="7">
        <f t="shared" ref="AV293" si="688">AV249</f>
        <v>403.91073999999998</v>
      </c>
      <c r="AW293" s="7">
        <f t="shared" ref="AW293:AX293" si="689">AW249</f>
        <v>428.78850750000004</v>
      </c>
      <c r="AX293" s="7">
        <f t="shared" si="689"/>
        <v>465.65567999999996</v>
      </c>
      <c r="AY293" s="7">
        <f t="shared" ref="AY293:BD293" si="690">AY249</f>
        <v>435.19140849999997</v>
      </c>
      <c r="AZ293" s="7">
        <f t="shared" si="690"/>
        <v>460.78290400000003</v>
      </c>
      <c r="BA293" s="7">
        <f t="shared" si="690"/>
        <v>478.71606539999999</v>
      </c>
      <c r="BB293" s="7">
        <f t="shared" si="690"/>
        <v>503.79182700000001</v>
      </c>
      <c r="BC293" s="7">
        <f t="shared" si="690"/>
        <v>518.47347760000002</v>
      </c>
      <c r="BD293" s="7">
        <f t="shared" si="690"/>
        <v>484.55921149999995</v>
      </c>
      <c r="BE293" s="7">
        <f t="shared" ref="BE293" si="691">BE249</f>
        <v>524.45887200000004</v>
      </c>
      <c r="BF293" s="7">
        <f t="shared" ref="BF293:BG293" si="692">BF249</f>
        <v>548.05746320000003</v>
      </c>
      <c r="BG293" s="7">
        <f t="shared" si="692"/>
        <v>535.96982009999999</v>
      </c>
      <c r="BH293" s="7">
        <f t="shared" ref="BH293:BI293" si="693">BH249</f>
        <v>567.68191830000001</v>
      </c>
      <c r="BI293" s="7">
        <f t="shared" si="693"/>
        <v>593.63666999999998</v>
      </c>
      <c r="BJ293" s="7">
        <f t="shared" ref="BJ293:BM293" si="694">BJ249</f>
        <v>609.67210499999999</v>
      </c>
      <c r="BK293" s="7">
        <f t="shared" si="694"/>
        <v>554.18615999999997</v>
      </c>
      <c r="BL293" s="7">
        <f t="shared" si="694"/>
        <v>609.99683199999993</v>
      </c>
      <c r="BM293" s="7">
        <f t="shared" si="694"/>
        <v>617.28720200000009</v>
      </c>
      <c r="BN293" s="7">
        <f>BN249</f>
        <v>624.99975510000002</v>
      </c>
      <c r="BO293" s="7">
        <f>BO249</f>
        <v>604.00265932923094</v>
      </c>
      <c r="BP293" s="7">
        <f>BP249</f>
        <v>610.79001763076928</v>
      </c>
      <c r="BQ293" s="7">
        <f t="shared" ref="BQ293:BR293" si="695">BQ249</f>
        <v>591.06320000000005</v>
      </c>
      <c r="BR293" s="7">
        <f t="shared" si="695"/>
        <v>628.39098000000001</v>
      </c>
      <c r="BS293" s="7"/>
      <c r="BT293" s="7"/>
      <c r="BU293" s="7"/>
      <c r="BV293" s="7"/>
      <c r="BW293" s="7"/>
      <c r="BX293" s="7"/>
      <c r="BY293" s="7"/>
    </row>
    <row r="294" spans="2:77">
      <c r="B294" s="3" t="s">
        <v>63</v>
      </c>
      <c r="AC294" s="11"/>
      <c r="AD294" s="11"/>
      <c r="AE294" s="11"/>
      <c r="AF294" s="11"/>
      <c r="AG294" s="11"/>
      <c r="AH294" s="11"/>
      <c r="AI294" s="11"/>
      <c r="AJ294" s="11"/>
      <c r="AK294" s="5">
        <f t="shared" ref="AK294:AS294" si="696">AK293/AG293-1</f>
        <v>0.50687171420292243</v>
      </c>
      <c r="AL294" s="5">
        <f t="shared" si="696"/>
        <v>0.6415090789349891</v>
      </c>
      <c r="AM294" s="5">
        <f t="shared" si="696"/>
        <v>0.58458537484891204</v>
      </c>
      <c r="AN294" s="5">
        <f t="shared" si="696"/>
        <v>0.62311902222584381</v>
      </c>
      <c r="AO294" s="5">
        <f t="shared" si="696"/>
        <v>0.58937087402903021</v>
      </c>
      <c r="AP294" s="5">
        <f t="shared" si="696"/>
        <v>0.4201595070188886</v>
      </c>
      <c r="AQ294" s="5">
        <f t="shared" si="696"/>
        <v>0.2994008276842306</v>
      </c>
      <c r="AR294" s="5">
        <f t="shared" si="696"/>
        <v>0.27214171161573431</v>
      </c>
      <c r="AS294" s="5">
        <f t="shared" si="696"/>
        <v>0.28268797975742976</v>
      </c>
      <c r="AT294" s="5">
        <f t="shared" ref="AT294:AY294" si="697">AT293/AP293-1</f>
        <v>0.26261829519711677</v>
      </c>
      <c r="AU294" s="5">
        <f t="shared" si="697"/>
        <v>-5.9223758973448448E-2</v>
      </c>
      <c r="AV294" s="5">
        <f t="shared" si="697"/>
        <v>-0.11056875622766982</v>
      </c>
      <c r="AW294" s="5">
        <f t="shared" si="697"/>
        <v>-0.15278583752683961</v>
      </c>
      <c r="AX294" s="5">
        <f t="shared" si="697"/>
        <v>-0.12703743186524974</v>
      </c>
      <c r="AY294" s="5">
        <f t="shared" si="697"/>
        <v>4.407285377117609E-2</v>
      </c>
      <c r="AZ294" s="5">
        <f t="shared" ref="AZ294:BM294" si="698">AZ293/AV293-1</f>
        <v>0.14080379244186481</v>
      </c>
      <c r="BA294" s="5">
        <f t="shared" si="698"/>
        <v>0.11643865688261235</v>
      </c>
      <c r="BB294" s="5">
        <f t="shared" si="698"/>
        <v>8.1897738260166886E-2</v>
      </c>
      <c r="BC294" s="5">
        <f t="shared" si="698"/>
        <v>0.19136882639079045</v>
      </c>
      <c r="BD294" s="5">
        <f t="shared" si="698"/>
        <v>5.1599803928489285E-2</v>
      </c>
      <c r="BE294" s="5">
        <f t="shared" si="698"/>
        <v>9.555310528753358E-2</v>
      </c>
      <c r="BF294" s="5">
        <f t="shared" si="698"/>
        <v>8.7864935133217248E-2</v>
      </c>
      <c r="BG294" s="5">
        <f t="shared" si="698"/>
        <v>3.3745877573121197E-2</v>
      </c>
      <c r="BH294" s="5">
        <f t="shared" si="698"/>
        <v>0.17154292979527863</v>
      </c>
      <c r="BI294" s="5">
        <f t="shared" si="698"/>
        <v>0.13190318954123814</v>
      </c>
      <c r="BJ294" s="5">
        <f t="shared" si="698"/>
        <v>0.1124236890056094</v>
      </c>
      <c r="BK294" s="5">
        <f t="shared" si="698"/>
        <v>3.3987622468371947E-2</v>
      </c>
      <c r="BL294" s="5">
        <f t="shared" si="698"/>
        <v>7.4539830027910092E-2</v>
      </c>
      <c r="BM294" s="5">
        <f t="shared" si="698"/>
        <v>3.9840079286207253E-2</v>
      </c>
      <c r="BN294" s="5">
        <f t="shared" ref="BN294:BP294" si="699">BN293/BJ293-1</f>
        <v>2.5140809255165264E-2</v>
      </c>
      <c r="BO294" s="5">
        <f t="shared" si="699"/>
        <v>8.9891272869807803E-2</v>
      </c>
      <c r="BP294" s="5">
        <f t="shared" si="699"/>
        <v>1.3003110658276196E-3</v>
      </c>
      <c r="BQ294" s="5">
        <f t="shared" ref="BQ294:BR294" si="700">BQ293/BK293-1</f>
        <v>6.6542693884668713E-2</v>
      </c>
      <c r="BR294" s="5">
        <f t="shared" si="700"/>
        <v>3.015449758925981E-2</v>
      </c>
      <c r="BS294" s="5"/>
      <c r="BT294" s="5"/>
      <c r="BU294" s="5"/>
      <c r="BV294" s="5"/>
      <c r="BW294" s="5"/>
      <c r="BX294" s="5"/>
      <c r="BY294" s="5"/>
    </row>
    <row r="295" spans="2:77">
      <c r="B295" s="3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5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5"/>
      <c r="BG295" s="5"/>
      <c r="BH295" s="5">
        <f t="shared" ref="BH295:BP295" si="701">BH296/BD296-1</f>
        <v>1.3319039140697271</v>
      </c>
      <c r="BI295" s="5">
        <f t="shared" si="701"/>
        <v>0.91821153482549178</v>
      </c>
      <c r="BJ295" s="5">
        <f t="shared" si="701"/>
        <v>0.33414521032713607</v>
      </c>
      <c r="BK295" s="5">
        <f t="shared" si="701"/>
        <v>0.37583282343518398</v>
      </c>
      <c r="BL295" s="5">
        <f t="shared" si="701"/>
        <v>0.22571589734821629</v>
      </c>
      <c r="BM295" s="5">
        <f t="shared" si="701"/>
        <v>-0.11206493238617898</v>
      </c>
      <c r="BN295" s="5">
        <f t="shared" si="701"/>
        <v>0.26525753147096243</v>
      </c>
      <c r="BO295" s="5">
        <f t="shared" si="701"/>
        <v>4.0139119836046788E-2</v>
      </c>
      <c r="BP295" s="5">
        <f t="shared" si="701"/>
        <v>3.0654512072028073E-3</v>
      </c>
      <c r="BQ295" s="5">
        <f t="shared" ref="BQ295:BR295" si="702">BQ296/BK296-1</f>
        <v>0.19852784721430017</v>
      </c>
      <c r="BR295" s="5">
        <f t="shared" si="702"/>
        <v>8.2020595744527469E-2</v>
      </c>
      <c r="BS295" s="5"/>
      <c r="BT295" s="5"/>
      <c r="BU295" s="5"/>
      <c r="BV295" s="5"/>
    </row>
    <row r="296" spans="2:77">
      <c r="B296" s="3" t="s">
        <v>2513</v>
      </c>
      <c r="AC296" s="7"/>
      <c r="AD296" s="7"/>
      <c r="AE296" s="7"/>
      <c r="AF296" s="7">
        <f>Interims!AF143/Interims!AF286</f>
        <v>-106.51264864864864</v>
      </c>
      <c r="AG296" s="7">
        <f>Interims!AG143/Interims!AG286</f>
        <v>-116.74214532871972</v>
      </c>
      <c r="AH296" s="7">
        <f>Interims!AH143/Interims!AH286</f>
        <v>-268.27138795986622</v>
      </c>
      <c r="AI296" s="7">
        <f>Interims!AI143/Interims!AI286</f>
        <v>-174.17504172775631</v>
      </c>
      <c r="AJ296" s="7">
        <f>Interims!AJ143/Interims!AJ286</f>
        <v>-201.12766990291263</v>
      </c>
      <c r="AK296" s="7">
        <f>Interims!AK143/Interims!AK286</f>
        <v>-211.29874686576483</v>
      </c>
      <c r="AL296" s="7">
        <f>Interims!AL143/Interims!AL286</f>
        <v>-235.26775087489881</v>
      </c>
      <c r="AM296" s="7">
        <f>Interims!AM143/Interims!AM286</f>
        <v>-154.63350418317742</v>
      </c>
      <c r="AN296" s="7">
        <f>Interims!AN143/Interims!AN286</f>
        <v>-168.16622156573115</v>
      </c>
      <c r="AO296" s="7">
        <f>Interims!AO143/Interims!AO286</f>
        <v>-138.57498489425981</v>
      </c>
      <c r="AP296" s="7">
        <f>Interims!AP143/Interims!AP286</f>
        <v>-143.01931578947369</v>
      </c>
      <c r="AQ296" s="7">
        <f>(Interims!AQ142+Interims!AQ143)/Interims!AQ286</f>
        <v>-113.82845609756099</v>
      </c>
      <c r="AR296" s="7">
        <f>(Interims!AR142+Interims!AR143)/Interims!AR286</f>
        <v>-129.06948795180722</v>
      </c>
      <c r="AS296" s="7">
        <f>(Interims!AS142+Interims!AS143)/Interims!AS286</f>
        <v>-79.999610591900307</v>
      </c>
      <c r="AT296" s="7">
        <f>(Interims!AT142+Interims!AT143)/Interims!AT286</f>
        <v>-40.930489731437596</v>
      </c>
      <c r="AU296" s="7">
        <f>(Interims!AU142+Interims!AU143)/Interims!AU286</f>
        <v>-84.513303115132615</v>
      </c>
      <c r="AV296" s="7">
        <f>(Interims!AV142+Interims!AV143)/Interims!AV286</f>
        <v>-87.393560248031847</v>
      </c>
      <c r="AW296" s="7">
        <f>(Interims!AW142+Interims!AW143)/Interims!AW286</f>
        <v>-75.94788838612368</v>
      </c>
      <c r="AX296" s="7">
        <f>(Interims!AX142+Interims!AX143)/Interims!AX286</f>
        <v>-11.17533039647577</v>
      </c>
      <c r="AY296" s="7">
        <f>'New Ints'!G62/AY286</f>
        <v>30.476407185628741</v>
      </c>
      <c r="AZ296" s="7">
        <f>'New Ints'!H62/AZ286</f>
        <v>60.644685212298675</v>
      </c>
      <c r="BA296" s="7">
        <f>'New Ints'!I62/BA286</f>
        <v>78.008316251830166</v>
      </c>
      <c r="BB296" s="7">
        <f>'New Ints'!J62/BB286</f>
        <v>51.216635761589401</v>
      </c>
      <c r="BC296" s="7">
        <f>'New Ints'!K62/BC286</f>
        <v>110.57079121097767</v>
      </c>
      <c r="BD296" s="7">
        <f>'New Ints'!L62/BD286</f>
        <v>75.913805903078554</v>
      </c>
      <c r="BE296" s="7">
        <f>'New Ints'!M62/BE286</f>
        <v>102.40825587168085</v>
      </c>
      <c r="BF296" s="7">
        <f>'New Ints'!N62/BF286</f>
        <v>118.19842105263157</v>
      </c>
      <c r="BG296" s="7">
        <f>'New Ints'!O62/BG286</f>
        <v>144.54472375690608</v>
      </c>
      <c r="BH296" s="7">
        <f>'New Ints'!P62/BH286</f>
        <v>177.02370111731844</v>
      </c>
      <c r="BI296" s="7">
        <f>'New Ints'!Q62/BI286</f>
        <v>196.4406976744186</v>
      </c>
      <c r="BJ296" s="7">
        <f>'New Ints'!R62/BJ286</f>
        <v>157.69385731559854</v>
      </c>
      <c r="BK296" s="7">
        <f>'New Ints'!S62/BK286</f>
        <v>198.86937539912282</v>
      </c>
      <c r="BL296" s="7">
        <f>'New Ints'!T62/BL286</f>
        <v>216.9807646669164</v>
      </c>
      <c r="BM296" s="7">
        <f>'New Ints'!U62/BM286</f>
        <v>174.42658417164105</v>
      </c>
      <c r="BN296" s="7">
        <f>'New Ints'!V62/BN286</f>
        <v>199.52334063526837</v>
      </c>
      <c r="BO296" s="7">
        <f>'New Ints'!W62/BO286</f>
        <v>206.85181708998797</v>
      </c>
      <c r="BP296" s="7">
        <f>'New Ints'!X62/BP286</f>
        <v>217.6459086139044</v>
      </c>
      <c r="BQ296" s="7">
        <f>'New Ints'!Y62/BQ286</f>
        <v>238.35048437396318</v>
      </c>
      <c r="BR296" s="7">
        <f>'New Ints'!Z62/BR286</f>
        <v>234.77765625000001</v>
      </c>
      <c r="BS296" s="7"/>
      <c r="BT296" s="7"/>
      <c r="BU296" s="7"/>
      <c r="BV296" s="7"/>
      <c r="BW296" s="166"/>
      <c r="BX296" s="166"/>
      <c r="BY296" s="166"/>
    </row>
    <row r="297" spans="2:77">
      <c r="B297" s="3" t="s">
        <v>84</v>
      </c>
      <c r="AC297" s="5"/>
      <c r="AD297" s="5"/>
      <c r="AE297" s="5"/>
      <c r="AF297" s="5"/>
      <c r="AG297" s="5">
        <f>AG296/AG292</f>
        <v>-0.64457733958299657</v>
      </c>
      <c r="AH297" s="5">
        <f t="shared" ref="AH297:AO297" si="703">AH296/AH292</f>
        <v>-1.2461422914106239</v>
      </c>
      <c r="AI297" s="5">
        <f t="shared" si="703"/>
        <v>-0.7244729605866177</v>
      </c>
      <c r="AJ297" s="5">
        <f t="shared" si="703"/>
        <v>-0.7766028407753276</v>
      </c>
      <c r="AK297" s="5">
        <f t="shared" si="703"/>
        <v>-0.69762520573712672</v>
      </c>
      <c r="AL297" s="5">
        <f t="shared" si="703"/>
        <v>-0.67115452544629517</v>
      </c>
      <c r="AM297" s="5">
        <f t="shared" si="703"/>
        <v>-0.3954000150901637</v>
      </c>
      <c r="AN297" s="5">
        <f t="shared" si="703"/>
        <v>-0.41845573932899199</v>
      </c>
      <c r="AO297" s="5">
        <f t="shared" si="703"/>
        <v>-0.30025979216626697</v>
      </c>
      <c r="AP297" s="5">
        <f t="shared" ref="AP297:AQ297" si="704">AP296/AP292</f>
        <v>-0.29568743549917126</v>
      </c>
      <c r="AQ297" s="5">
        <f t="shared" si="704"/>
        <v>-0.21381408116329106</v>
      </c>
      <c r="AR297" s="5">
        <f t="shared" ref="AR297:AS297" si="705">AR296/AR292</f>
        <v>-0.22438162544169613</v>
      </c>
      <c r="AS297" s="5">
        <f t="shared" si="705"/>
        <v>-0.12942457944996805</v>
      </c>
      <c r="AT297" s="5">
        <f t="shared" ref="AT297:AU297" si="706">AT296/AT292</f>
        <v>-5.8276131786515785E-2</v>
      </c>
      <c r="AU297" s="5">
        <f t="shared" si="706"/>
        <v>-0.14105809277610226</v>
      </c>
      <c r="AV297" s="5">
        <f t="shared" ref="AV297" si="707">AV296/AV292</f>
        <v>-0.14518993071271893</v>
      </c>
      <c r="AW297" s="5">
        <f t="shared" ref="AW297:AZ297" si="708">AW296/AW292</f>
        <v>-0.1181889788101563</v>
      </c>
      <c r="AX297" s="5">
        <f t="shared" ref="AX297" si="709">AX296/AX292</f>
        <v>-1.6460875442408738E-2</v>
      </c>
      <c r="AY297" s="5">
        <f t="shared" si="708"/>
        <v>4.7260479849555677E-2</v>
      </c>
      <c r="AZ297" s="5">
        <f t="shared" si="708"/>
        <v>8.6995934704237526E-2</v>
      </c>
      <c r="BA297" s="5">
        <f t="shared" ref="BA297:BC297" si="710">BA296/BA292</f>
        <v>0.10517779081804217</v>
      </c>
      <c r="BB297" s="5">
        <f t="shared" si="710"/>
        <v>6.5176639822397409E-2</v>
      </c>
      <c r="BC297" s="5">
        <f t="shared" si="710"/>
        <v>0.15889255413679354</v>
      </c>
      <c r="BD297" s="5">
        <f t="shared" ref="BD297" si="711">BD296/BD292</f>
        <v>0.14321236347612606</v>
      </c>
      <c r="BE297" s="5">
        <f t="shared" ref="BE297" si="712">BE296/BE292</f>
        <v>0.13571505913208773</v>
      </c>
      <c r="BF297" s="5">
        <f t="shared" ref="BF297" si="713">BF296/BF292</f>
        <v>0.13322761831539381</v>
      </c>
      <c r="BG297" s="5">
        <f t="shared" ref="BG297:BH297" si="714">BG296/BG292</f>
        <v>0.16462087627382116</v>
      </c>
      <c r="BH297" s="5">
        <f t="shared" si="714"/>
        <v>0.17955973154362415</v>
      </c>
      <c r="BI297" s="5">
        <f t="shared" ref="BI297:BJ297" si="715">BI296/BI292</f>
        <v>0.1907273059806133</v>
      </c>
      <c r="BJ297" s="5">
        <f t="shared" si="715"/>
        <v>0.14423671164662205</v>
      </c>
      <c r="BK297" s="5">
        <f t="shared" ref="BK297:BQ297" si="716">BK296/BK292</f>
        <v>0.18326351122791495</v>
      </c>
      <c r="BL297" s="5">
        <f t="shared" si="716"/>
        <v>0.21352283643349926</v>
      </c>
      <c r="BM297" s="5">
        <f t="shared" si="716"/>
        <v>0.18966114203970805</v>
      </c>
      <c r="BN297" s="5">
        <f t="shared" si="716"/>
        <v>0.21239953555035468</v>
      </c>
      <c r="BO297" s="5">
        <f t="shared" ref="BO297:BP297" si="717">BO296/BO292</f>
        <v>0.22401525036698747</v>
      </c>
      <c r="BP297" s="5">
        <f t="shared" si="717"/>
        <v>0.2423818655753382</v>
      </c>
      <c r="BQ297" s="5">
        <f t="shared" si="716"/>
        <v>0.26931822054735161</v>
      </c>
      <c r="BR297" s="5">
        <f t="shared" ref="BR297" si="718">BR296/BR292</f>
        <v>0.25331142407166335</v>
      </c>
      <c r="BS297" s="5"/>
      <c r="BT297" s="5"/>
      <c r="BU297" s="5"/>
      <c r="BV297" s="5"/>
      <c r="BW297" s="5"/>
      <c r="BX297" s="5"/>
      <c r="BY297" s="5"/>
    </row>
    <row r="298" spans="2:77">
      <c r="B298" s="3" t="s">
        <v>2068</v>
      </c>
      <c r="AC298" s="7"/>
      <c r="AD298" s="7"/>
      <c r="AE298" s="7"/>
      <c r="AF298" s="11">
        <f t="shared" ref="AF298:AL298" si="719">AF296/AF287</f>
        <v>-38.176576576576572</v>
      </c>
      <c r="AG298" s="11">
        <f t="shared" si="719"/>
        <v>-41.397923875432525</v>
      </c>
      <c r="AH298" s="11">
        <f t="shared" si="719"/>
        <v>-91.560200668896314</v>
      </c>
      <c r="AI298" s="11">
        <f t="shared" si="719"/>
        <v>-56.953508504175772</v>
      </c>
      <c r="AJ298" s="11">
        <f t="shared" si="719"/>
        <v>-64.053398058252426</v>
      </c>
      <c r="AK298" s="11">
        <f t="shared" si="719"/>
        <v>-65.77678311305327</v>
      </c>
      <c r="AL298" s="11">
        <f t="shared" si="719"/>
        <v>-70.774795097179862</v>
      </c>
      <c r="AM298" s="11">
        <f t="shared" ref="AM298:AT298" si="720">AM296/AM287</f>
        <v>-44.858372478603421</v>
      </c>
      <c r="AN298" s="11">
        <f t="shared" si="720"/>
        <v>-51.161004431314616</v>
      </c>
      <c r="AO298" s="11">
        <f t="shared" si="720"/>
        <v>-40.853474320241695</v>
      </c>
      <c r="AP298" s="11">
        <f t="shared" si="720"/>
        <v>-42.654135338345867</v>
      </c>
      <c r="AQ298" s="11">
        <f t="shared" si="720"/>
        <v>-35.146341463414636</v>
      </c>
      <c r="AR298" s="11">
        <f t="shared" si="720"/>
        <v>-39.591867469879517</v>
      </c>
      <c r="AS298" s="11">
        <f t="shared" ref="AS298" si="721">AS296/AS287</f>
        <v>-24.615264797507788</v>
      </c>
      <c r="AT298" s="11">
        <f t="shared" si="720"/>
        <v>-12.593996840442337</v>
      </c>
      <c r="AU298" s="11">
        <f t="shared" ref="AU298" si="722">AU296/AU287</f>
        <v>-26.097401514069567</v>
      </c>
      <c r="AV298" s="11">
        <f t="shared" ref="AV298" si="723">AV296/AV287</f>
        <v>-26.819725287052965</v>
      </c>
      <c r="AW298" s="11">
        <f t="shared" ref="AW298:AZ298" si="724">AW296/AW287</f>
        <v>-23.08446455505279</v>
      </c>
      <c r="AX298" s="11">
        <f t="shared" ref="AX298" si="725">AX296/AX287</f>
        <v>-3.3259911894273126</v>
      </c>
      <c r="AY298" s="11">
        <f t="shared" si="724"/>
        <v>9.1796407185628741</v>
      </c>
      <c r="AZ298" s="11">
        <f t="shared" si="724"/>
        <v>18.266471449487554</v>
      </c>
      <c r="BA298" s="11">
        <f t="shared" ref="BA298:BD298" si="726">BA296/BA287</f>
        <v>23.355783308931187</v>
      </c>
      <c r="BB298" s="11">
        <f t="shared" si="726"/>
        <v>15.243046357615894</v>
      </c>
      <c r="BC298" s="11">
        <f t="shared" si="726"/>
        <v>32.46533606914133</v>
      </c>
      <c r="BD298" s="11">
        <f t="shared" si="726"/>
        <v>22.127332605232489</v>
      </c>
      <c r="BE298" s="11">
        <f t="shared" ref="BE298" si="727">BE296/BE287</f>
        <v>28.898940481255028</v>
      </c>
      <c r="BF298" s="11">
        <f t="shared" ref="BF298" si="728">BF296/BF287</f>
        <v>32.8328947368421</v>
      </c>
      <c r="BG298" s="11">
        <f t="shared" ref="BG298:BH298" si="729">BG296/BG287</f>
        <v>39.49309392265193</v>
      </c>
      <c r="BH298" s="11">
        <f t="shared" si="729"/>
        <v>46.708100558659218</v>
      </c>
      <c r="BI298" s="11">
        <f t="shared" ref="BI298:BJ298" si="730">BI296/BI287</f>
        <v>48.503875968992247</v>
      </c>
      <c r="BJ298" s="11">
        <f t="shared" si="730"/>
        <v>39.227327690447403</v>
      </c>
      <c r="BK298" s="11">
        <f t="shared" ref="BK298:BM298" si="731">BK296/BK287</f>
        <v>52.288594640776324</v>
      </c>
      <c r="BL298" s="11">
        <f t="shared" si="731"/>
        <v>57.892413198216758</v>
      </c>
      <c r="BM298" s="11">
        <f t="shared" si="731"/>
        <v>44.812701829924649</v>
      </c>
      <c r="BN298" s="11">
        <f t="shared" ref="BN298:BQ298" si="732">BN296/BN287</f>
        <v>51.291347207009863</v>
      </c>
      <c r="BO298" s="11">
        <f t="shared" ref="BO298:BP298" si="733">BO296/BO287</f>
        <v>54.210691010541929</v>
      </c>
      <c r="BP298" s="11">
        <f t="shared" si="733"/>
        <v>58.843036781218558</v>
      </c>
      <c r="BQ298" s="11">
        <f t="shared" si="732"/>
        <v>64.828561475681767</v>
      </c>
      <c r="BR298" s="11">
        <f t="shared" ref="BR298" si="734">BR296/BR287</f>
        <v>62.110491071428577</v>
      </c>
      <c r="BS298" s="11"/>
      <c r="BT298" s="11"/>
      <c r="BU298" s="11"/>
      <c r="BV298" s="11"/>
      <c r="BW298" s="11"/>
      <c r="BX298" s="11"/>
      <c r="BY298" s="11"/>
    </row>
    <row r="299" spans="2:77">
      <c r="H299" s="57"/>
    </row>
    <row r="300" spans="2:77">
      <c r="B300" s="3" t="s">
        <v>2883</v>
      </c>
      <c r="H300" s="15"/>
      <c r="I300" s="15"/>
      <c r="AE300" s="15">
        <f t="shared" ref="AE300:AJ300" si="735">AE296/AE287</f>
        <v>0</v>
      </c>
      <c r="AF300" s="15">
        <f t="shared" si="735"/>
        <v>-38.176576576576572</v>
      </c>
      <c r="AG300" s="15">
        <f t="shared" si="735"/>
        <v>-41.397923875432525</v>
      </c>
      <c r="AH300" s="15">
        <f t="shared" si="735"/>
        <v>-91.560200668896314</v>
      </c>
      <c r="AI300" s="15">
        <f t="shared" si="735"/>
        <v>-56.953508504175772</v>
      </c>
      <c r="AJ300" s="15">
        <f t="shared" si="735"/>
        <v>-64.053398058252426</v>
      </c>
      <c r="AY300" s="481">
        <v>0.04</v>
      </c>
      <c r="AZ300" s="481">
        <v>0.04</v>
      </c>
      <c r="BA300" s="481">
        <v>0.04</v>
      </c>
      <c r="BB300" s="481">
        <v>0.04</v>
      </c>
      <c r="BC300" s="481">
        <v>0.05</v>
      </c>
      <c r="BD300" s="481">
        <v>0.05</v>
      </c>
      <c r="BE300" s="481">
        <v>0.1</v>
      </c>
      <c r="BF300" s="481">
        <v>0.15</v>
      </c>
      <c r="BG300" s="481">
        <v>0.15</v>
      </c>
      <c r="BH300" s="481">
        <v>0.15</v>
      </c>
      <c r="BI300" s="481">
        <v>0.15</v>
      </c>
      <c r="BJ300" s="481">
        <v>0.15</v>
      </c>
      <c r="BK300" s="481">
        <v>0.15</v>
      </c>
      <c r="BL300" s="481">
        <v>0.15</v>
      </c>
      <c r="BM300" s="481">
        <v>0.15</v>
      </c>
      <c r="BN300" s="481">
        <v>0.15</v>
      </c>
      <c r="BO300" s="481">
        <v>0.15</v>
      </c>
      <c r="BP300" s="481">
        <v>0.15</v>
      </c>
      <c r="BQ300" s="481">
        <v>0.15</v>
      </c>
      <c r="BR300" s="481">
        <v>0.15</v>
      </c>
      <c r="BS300" s="481"/>
      <c r="BT300" s="481"/>
      <c r="BU300" s="481"/>
      <c r="BV300" s="481"/>
      <c r="BW300" s="481"/>
      <c r="BX300" s="481"/>
      <c r="BY300" s="481"/>
    </row>
    <row r="301" spans="2:77">
      <c r="B301" s="3" t="s">
        <v>2885</v>
      </c>
      <c r="H301" s="15"/>
      <c r="I301" s="15"/>
      <c r="AE301" s="15"/>
      <c r="AF301" s="15"/>
      <c r="AG301" s="15"/>
      <c r="AH301" s="15"/>
      <c r="AI301" s="15"/>
      <c r="AJ301" s="15"/>
      <c r="AY301" s="7">
        <f>AY300*AY245</f>
        <v>8.386755636047905</v>
      </c>
      <c r="AZ301" s="7">
        <f t="shared" ref="AZ301:BF301" si="736">AZ300*AZ245</f>
        <v>9.452600677481696</v>
      </c>
      <c r="BA301" s="7">
        <f t="shared" si="736"/>
        <v>10.518577296152269</v>
      </c>
      <c r="BB301" s="7">
        <f t="shared" si="736"/>
        <v>11.280837648476817</v>
      </c>
      <c r="BC301" s="7">
        <f t="shared" si="736"/>
        <v>8.8705277148038828</v>
      </c>
      <c r="BD301" s="7">
        <f t="shared" si="736"/>
        <v>2.2759682969418522</v>
      </c>
      <c r="BE301" s="7">
        <f t="shared" si="736"/>
        <v>23.012397626011616</v>
      </c>
      <c r="BF301" s="7">
        <f t="shared" si="736"/>
        <v>50.870117362105255</v>
      </c>
      <c r="BG301" s="7">
        <f t="shared" ref="BG301:BH301" si="737">BG300*BG245</f>
        <v>51.311446874502778</v>
      </c>
      <c r="BH301" s="7">
        <f t="shared" si="737"/>
        <v>62.72917175220671</v>
      </c>
      <c r="BI301" s="7">
        <f t="shared" ref="BI301:BJ301" si="738">BI300*BI245</f>
        <v>65.447871593023251</v>
      </c>
      <c r="BJ301" s="7">
        <f t="shared" si="738"/>
        <v>72.54403914721884</v>
      </c>
      <c r="BK301" s="7">
        <f t="shared" ref="BK301" si="739">BK300*BK245</f>
        <v>79.645375005332014</v>
      </c>
      <c r="BL301" s="7">
        <f>BL300*BL245</f>
        <v>60.929673142835114</v>
      </c>
      <c r="BM301" s="7">
        <f>BM300*BM245</f>
        <v>45.35814863580584</v>
      </c>
      <c r="BN301" s="7">
        <f>BN300*BN245</f>
        <v>47.1566588598631</v>
      </c>
      <c r="BO301" s="7">
        <f>BO300*BO245</f>
        <v>47.907013040952961</v>
      </c>
      <c r="BP301" s="7">
        <f>BP300*BP245</f>
        <v>43.073448069569579</v>
      </c>
      <c r="BQ301" s="7">
        <f t="shared" ref="BQ301:BR301" si="740">BQ300*BQ245</f>
        <v>44.09266942172264</v>
      </c>
      <c r="BR301" s="7">
        <f t="shared" si="740"/>
        <v>44.766462374999989</v>
      </c>
      <c r="BS301" s="7"/>
      <c r="BT301" s="7"/>
      <c r="BU301" s="7"/>
      <c r="BV301" s="7"/>
      <c r="BW301" s="7"/>
      <c r="BX301" s="7"/>
      <c r="BY301" s="7"/>
    </row>
    <row r="302" spans="2:77">
      <c r="B302" s="3" t="s">
        <v>2886</v>
      </c>
      <c r="H302" s="15"/>
      <c r="I302" s="15"/>
      <c r="AE302" s="15"/>
      <c r="AF302" s="15"/>
      <c r="AG302" s="15"/>
      <c r="AH302" s="15"/>
      <c r="AI302" s="15"/>
      <c r="AJ302" s="15"/>
      <c r="AY302" s="7">
        <f>AY296-AY301</f>
        <v>22.089651549580836</v>
      </c>
      <c r="AZ302" s="7">
        <f t="shared" ref="AZ302:BF302" si="741">AZ296-AZ301</f>
        <v>51.192084534816978</v>
      </c>
      <c r="BA302" s="7">
        <f t="shared" si="741"/>
        <v>67.489738955677893</v>
      </c>
      <c r="BB302" s="7">
        <f t="shared" si="741"/>
        <v>39.935798113112583</v>
      </c>
      <c r="BC302" s="7">
        <f t="shared" si="741"/>
        <v>101.70026349617379</v>
      </c>
      <c r="BD302" s="7">
        <f t="shared" si="741"/>
        <v>73.637837606136699</v>
      </c>
      <c r="BE302" s="7">
        <f t="shared" si="741"/>
        <v>79.395858245669231</v>
      </c>
      <c r="BF302" s="7">
        <f t="shared" si="741"/>
        <v>67.328303690526326</v>
      </c>
      <c r="BG302" s="7">
        <f t="shared" ref="BG302:BH302" si="742">BG296-BG301</f>
        <v>93.233276882403302</v>
      </c>
      <c r="BH302" s="7">
        <f t="shared" si="742"/>
        <v>114.29452936511173</v>
      </c>
      <c r="BI302" s="7">
        <f t="shared" ref="BI302:BJ302" si="743">BI296-BI301</f>
        <v>130.99282608139535</v>
      </c>
      <c r="BJ302" s="7">
        <f t="shared" si="743"/>
        <v>85.149818168379696</v>
      </c>
      <c r="BK302" s="7">
        <f t="shared" ref="BK302:BL302" si="744">BK296-BK301</f>
        <v>119.2240003937908</v>
      </c>
      <c r="BL302" s="7">
        <f t="shared" si="744"/>
        <v>156.0510915240813</v>
      </c>
      <c r="BM302" s="7">
        <f t="shared" ref="BM302:BN302" si="745">BM296-BM301</f>
        <v>129.06843553583522</v>
      </c>
      <c r="BN302" s="7">
        <f t="shared" si="745"/>
        <v>152.36668177540525</v>
      </c>
      <c r="BO302" s="7">
        <f t="shared" ref="BO302:BP302" si="746">BO296-BO301</f>
        <v>158.94480404903501</v>
      </c>
      <c r="BP302" s="7">
        <f t="shared" si="746"/>
        <v>174.57246054433483</v>
      </c>
      <c r="BQ302" s="7">
        <f t="shared" ref="BQ302:BR302" si="747">BQ296-BQ301</f>
        <v>194.25781495224055</v>
      </c>
      <c r="BR302" s="7">
        <f t="shared" si="747"/>
        <v>190.011193875</v>
      </c>
      <c r="BS302" s="7"/>
      <c r="BT302" s="7"/>
      <c r="BU302" s="7"/>
      <c r="BV302" s="7"/>
      <c r="BW302" s="166"/>
      <c r="BX302" s="166"/>
      <c r="BY302" s="166"/>
    </row>
    <row r="303" spans="2:77">
      <c r="B303" s="3" t="s">
        <v>2884</v>
      </c>
      <c r="AY303" s="5">
        <f>AY302/AY293</f>
        <v>5.0758473439810194E-2</v>
      </c>
      <c r="AZ303" s="5">
        <f t="shared" ref="AZ303:BF303" si="748">AZ302/AZ293</f>
        <v>0.11109805526729563</v>
      </c>
      <c r="BA303" s="5">
        <f t="shared" si="748"/>
        <v>0.14098072706059198</v>
      </c>
      <c r="BB303" s="5">
        <f t="shared" si="748"/>
        <v>7.9270436662150501E-2</v>
      </c>
      <c r="BC303" s="5">
        <f t="shared" si="748"/>
        <v>0.19615326123708701</v>
      </c>
      <c r="BD303" s="5">
        <f t="shared" si="748"/>
        <v>0.15196870858812825</v>
      </c>
      <c r="BE303" s="5">
        <f t="shared" si="748"/>
        <v>0.15138624301062301</v>
      </c>
      <c r="BF303" s="5">
        <f t="shared" si="748"/>
        <v>0.12284898612165514</v>
      </c>
      <c r="BG303" s="5">
        <f t="shared" ref="BG303:BH303" si="749">BG302/BG293</f>
        <v>0.17395247528117919</v>
      </c>
      <c r="BH303" s="5">
        <f t="shared" si="749"/>
        <v>0.2013355114557499</v>
      </c>
      <c r="BI303" s="5">
        <f t="shared" ref="BI303:BJ303" si="750">BI302/BI293</f>
        <v>0.22066161458892922</v>
      </c>
      <c r="BJ303" s="5">
        <f t="shared" si="750"/>
        <v>0.1396649403344109</v>
      </c>
      <c r="BK303" s="5">
        <f t="shared" ref="BK303:BL303" si="751">BK302/BK293</f>
        <v>0.21513348581962208</v>
      </c>
      <c r="BL303" s="5">
        <f t="shared" si="751"/>
        <v>0.2558227901158695</v>
      </c>
      <c r="BM303" s="5">
        <f t="shared" ref="BM303:BN303" si="752">BM302/BM293</f>
        <v>0.20908976424208323</v>
      </c>
      <c r="BN303" s="5">
        <f t="shared" si="752"/>
        <v>0.24378678636606277</v>
      </c>
      <c r="BO303" s="5">
        <f t="shared" ref="BO303:BP303" si="753">BO302/BO293</f>
        <v>0.26315249046345185</v>
      </c>
      <c r="BP303" s="5">
        <f t="shared" si="753"/>
        <v>0.2858142004702281</v>
      </c>
      <c r="BQ303" s="5">
        <f t="shared" ref="BQ303:BR303" si="754">BQ302/BQ293</f>
        <v>0.32865828045501821</v>
      </c>
      <c r="BR303" s="5">
        <f t="shared" si="754"/>
        <v>0.3023773413727231</v>
      </c>
      <c r="BS303" s="5"/>
      <c r="BT303" s="5"/>
      <c r="BU303" s="5"/>
      <c r="BV303" s="5"/>
      <c r="BW303" s="5"/>
      <c r="BX303" s="5"/>
      <c r="BY303" s="5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394BF-0120-4702-B7D8-EC516363F93F}">
  <dimension ref="B1:S328"/>
  <sheetViews>
    <sheetView showGridLines="0" topLeftCell="A190" zoomScale="80" zoomScaleNormal="80" workbookViewId="0">
      <selection activeCell="J238" sqref="J238"/>
    </sheetView>
  </sheetViews>
  <sheetFormatPr defaultColWidth="9.15625" defaultRowHeight="14.1"/>
  <cols>
    <col min="1" max="1" width="9.15625" style="542"/>
    <col min="2" max="2" width="30.68359375" style="542" customWidth="1"/>
    <col min="3" max="9" width="10.15625" style="542" customWidth="1"/>
    <col min="10" max="16384" width="9.15625" style="542"/>
  </cols>
  <sheetData>
    <row r="1" spans="2:10">
      <c r="C1" s="548">
        <v>52300</v>
      </c>
    </row>
    <row r="3" spans="2:10">
      <c r="B3" s="543"/>
      <c r="C3" s="543"/>
      <c r="D3" s="544" t="s">
        <v>3023</v>
      </c>
      <c r="E3" s="543"/>
      <c r="F3" s="544" t="s">
        <v>3024</v>
      </c>
      <c r="G3" s="547"/>
      <c r="H3" s="547"/>
      <c r="I3" s="547"/>
      <c r="J3" s="543"/>
    </row>
    <row r="4" spans="2:10">
      <c r="B4" s="545" t="s">
        <v>2927</v>
      </c>
      <c r="C4" s="546" t="s">
        <v>3317</v>
      </c>
      <c r="D4" s="546" t="s">
        <v>3079</v>
      </c>
      <c r="E4" s="546" t="s">
        <v>3025</v>
      </c>
      <c r="F4" s="546" t="s">
        <v>3079</v>
      </c>
      <c r="G4" s="546" t="s">
        <v>3025</v>
      </c>
      <c r="H4" s="546" t="s">
        <v>2932</v>
      </c>
      <c r="I4" s="546" t="s">
        <v>400</v>
      </c>
    </row>
    <row r="5" spans="2:10">
      <c r="B5" s="562" t="s">
        <v>3036</v>
      </c>
      <c r="C5" s="563">
        <f>'New Ints'!Z13-C1</f>
        <v>672342</v>
      </c>
      <c r="D5" s="563">
        <f>'New Ints'!BZ13</f>
        <v>635052.54248045199</v>
      </c>
      <c r="E5" s="566">
        <f>C5/D5-1</f>
        <v>5.8718696525328573E-2</v>
      </c>
      <c r="F5" s="563">
        <v>636700</v>
      </c>
      <c r="G5" s="566">
        <f>C5/F5-1</f>
        <v>5.5979268101146618E-2</v>
      </c>
      <c r="H5" s="563">
        <f>'New Ints'!V13</f>
        <v>642606</v>
      </c>
      <c r="I5" s="631">
        <f>C5/H5-1</f>
        <v>4.6274077739703712E-2</v>
      </c>
    </row>
    <row r="6" spans="2:10">
      <c r="B6" s="550" t="s">
        <v>3021</v>
      </c>
      <c r="C6" s="548">
        <f>'New Ints'!Z6-C1</f>
        <v>447961</v>
      </c>
      <c r="D6" s="548">
        <f>'New Ints'!BZ6</f>
        <v>412647.18999999994</v>
      </c>
      <c r="E6" s="551">
        <f>C6/D6-1</f>
        <v>8.5578699808909642E-2</v>
      </c>
      <c r="F6" s="548">
        <v>402100</v>
      </c>
      <c r="G6" s="625">
        <f>C6/F6-1</f>
        <v>0.11405371798060182</v>
      </c>
      <c r="H6" s="548">
        <f>'New Ints'!V6</f>
        <v>415715</v>
      </c>
      <c r="I6" s="632">
        <f>C6/H6-1</f>
        <v>7.7567564316899817E-2</v>
      </c>
    </row>
    <row r="7" spans="2:10">
      <c r="B7" s="565" t="s">
        <v>3022</v>
      </c>
      <c r="C7" s="563">
        <f>'New Ints'!Z10</f>
        <v>219694</v>
      </c>
      <c r="D7" s="563">
        <f>'New Ints'!BZ10</f>
        <v>213188.35248045227</v>
      </c>
      <c r="E7" s="566">
        <f>C7/D7-1</f>
        <v>3.051596132647183E-2</v>
      </c>
      <c r="F7" s="563">
        <v>220900</v>
      </c>
      <c r="G7" s="566">
        <f>C7/F7-1</f>
        <v>-5.4594839293797826E-3</v>
      </c>
      <c r="H7" s="563">
        <f>'New Ints'!V10</f>
        <v>220476</v>
      </c>
      <c r="I7" s="633">
        <f>C7/H7-1</f>
        <v>-3.5468713147915887E-3</v>
      </c>
    </row>
    <row r="8" spans="2:10">
      <c r="B8" s="550" t="s">
        <v>20</v>
      </c>
      <c r="C8" s="548">
        <f>C5-C6-C7</f>
        <v>4687</v>
      </c>
      <c r="D8" s="548">
        <f>D5-D6-D7</f>
        <v>9216.9999999997672</v>
      </c>
      <c r="E8" s="551"/>
      <c r="F8" s="548">
        <f>F5-F6-F7</f>
        <v>13700</v>
      </c>
      <c r="G8" s="547"/>
      <c r="H8" s="548">
        <f>H5-H6-H7</f>
        <v>6415</v>
      </c>
      <c r="I8" s="632"/>
    </row>
    <row r="9" spans="2:10">
      <c r="B9" s="562"/>
      <c r="C9" s="562"/>
      <c r="D9" s="562"/>
      <c r="E9" s="562"/>
      <c r="F9" s="562"/>
      <c r="G9" s="562"/>
      <c r="H9" s="562"/>
      <c r="I9" s="633"/>
    </row>
    <row r="10" spans="2:10">
      <c r="B10" s="629" t="s">
        <v>3324</v>
      </c>
      <c r="C10" s="630">
        <f>'New Ints'!Z42</f>
        <v>247053</v>
      </c>
      <c r="D10" s="629"/>
      <c r="E10" s="629"/>
      <c r="F10" s="630">
        <v>318500</v>
      </c>
      <c r="G10" s="625">
        <f>C10/F10-1</f>
        <v>-0.22432339089481945</v>
      </c>
      <c r="H10" s="629"/>
      <c r="I10" s="634"/>
    </row>
    <row r="11" spans="2:10">
      <c r="B11" s="562" t="s">
        <v>2513</v>
      </c>
      <c r="C11" s="563">
        <f>'New Ints'!Z64</f>
        <v>194753</v>
      </c>
      <c r="D11" s="563">
        <f>'New Ints'!BZ64</f>
        <v>181665.72910654068</v>
      </c>
      <c r="E11" s="566">
        <f>C11/D11-1</f>
        <v>7.2040395058685425E-2</v>
      </c>
      <c r="F11" s="563">
        <f>318500-C1</f>
        <v>266200</v>
      </c>
      <c r="G11" s="566">
        <f>C11/F11-1</f>
        <v>-0.26839594290007518</v>
      </c>
      <c r="H11" s="563">
        <f>'New Ints'!V64</f>
        <v>172451</v>
      </c>
      <c r="I11" s="633">
        <f>C11/H11-1</f>
        <v>0.12932369194727777</v>
      </c>
    </row>
    <row r="12" spans="2:10">
      <c r="B12" s="547" t="str">
        <f>B6</f>
        <v xml:space="preserve"> Chile</v>
      </c>
      <c r="C12" s="548">
        <f>'New Ints'!Z60</f>
        <v>137808</v>
      </c>
      <c r="D12" s="548">
        <f>'New Ints'!BZ60</f>
        <v>130307.2586104502</v>
      </c>
      <c r="E12" s="551">
        <f>C12/D12-1</f>
        <v>5.7561961394438255E-2</v>
      </c>
      <c r="F12" s="548">
        <v>262800</v>
      </c>
      <c r="G12" s="625">
        <f>C12/F12-1</f>
        <v>-0.47561643835616441</v>
      </c>
      <c r="H12" s="548">
        <f>'New Ints'!V60</f>
        <v>124956</v>
      </c>
      <c r="I12" s="632">
        <f>C12/H12-1</f>
        <v>0.10285220397579953</v>
      </c>
    </row>
    <row r="13" spans="2:10">
      <c r="B13" s="562" t="str">
        <f>B7</f>
        <v xml:space="preserve"> Peru</v>
      </c>
      <c r="C13" s="563">
        <f>'New Ints'!Z62</f>
        <v>55651</v>
      </c>
      <c r="D13" s="563">
        <f>'New Ints'!BZ62</f>
        <v>52073.470496090478</v>
      </c>
      <c r="E13" s="566">
        <f>C13/D13-1</f>
        <v>6.8701576250388641E-2</v>
      </c>
      <c r="F13" s="563">
        <v>55400</v>
      </c>
      <c r="G13" s="566">
        <f>C13/F13-1</f>
        <v>4.5306859205775929E-3</v>
      </c>
      <c r="H13" s="563">
        <f>'New Ints'!V62</f>
        <v>46829</v>
      </c>
      <c r="I13" s="633">
        <f>C13/H13-1</f>
        <v>0.18838753763693439</v>
      </c>
    </row>
    <row r="14" spans="2:10">
      <c r="B14" s="547"/>
      <c r="C14" s="547"/>
      <c r="D14" s="547"/>
      <c r="E14" s="547"/>
      <c r="F14" s="547"/>
      <c r="G14" s="547"/>
      <c r="H14" s="547"/>
      <c r="I14" s="632"/>
    </row>
    <row r="15" spans="2:10">
      <c r="B15" s="562" t="s">
        <v>374</v>
      </c>
      <c r="C15" s="566">
        <f t="shared" ref="C15:D17" si="0">C11/C5</f>
        <v>0.28966359382576129</v>
      </c>
      <c r="D15" s="566">
        <f t="shared" si="0"/>
        <v>0.28606409226703106</v>
      </c>
      <c r="E15" s="562"/>
      <c r="F15" s="566">
        <f>F11/F5</f>
        <v>0.41809329354484059</v>
      </c>
      <c r="G15" s="562"/>
      <c r="H15" s="566">
        <f>H11/H5</f>
        <v>0.2683619511800388</v>
      </c>
      <c r="I15" s="633"/>
    </row>
    <row r="16" spans="2:10">
      <c r="B16" s="547" t="str">
        <f>B12</f>
        <v xml:space="preserve"> Chile</v>
      </c>
      <c r="C16" s="551">
        <f t="shared" si="0"/>
        <v>0.30763392348887514</v>
      </c>
      <c r="D16" s="551">
        <f t="shared" si="0"/>
        <v>0.31578370522879418</v>
      </c>
      <c r="E16" s="547"/>
      <c r="F16" s="551">
        <f>F12/F6</f>
        <v>0.6535687639890575</v>
      </c>
      <c r="G16" s="547"/>
      <c r="H16" s="551">
        <f>H12/H6</f>
        <v>0.30058092683689547</v>
      </c>
      <c r="I16" s="632"/>
    </row>
    <row r="17" spans="2:14">
      <c r="B17" s="562" t="str">
        <f>B13</f>
        <v xml:space="preserve"> Peru</v>
      </c>
      <c r="C17" s="566">
        <f t="shared" si="0"/>
        <v>0.25331142407166329</v>
      </c>
      <c r="D17" s="566">
        <f t="shared" si="0"/>
        <v>0.24426039176256223</v>
      </c>
      <c r="E17" s="562"/>
      <c r="F17" s="566">
        <f>F13/F7</f>
        <v>0.25079221367134452</v>
      </c>
      <c r="G17" s="562"/>
      <c r="H17" s="566">
        <f>H13/H7</f>
        <v>0.21239953555035468</v>
      </c>
      <c r="I17" s="633"/>
    </row>
    <row r="18" spans="2:14">
      <c r="B18" s="547"/>
      <c r="C18" s="547"/>
      <c r="D18" s="547"/>
      <c r="E18" s="547"/>
      <c r="F18" s="547"/>
      <c r="G18" s="547"/>
      <c r="H18" s="547"/>
      <c r="I18" s="632"/>
    </row>
    <row r="19" spans="2:14">
      <c r="B19" s="562" t="s">
        <v>100</v>
      </c>
      <c r="C19" s="563">
        <f>'New Ints'!Z158</f>
        <v>75601</v>
      </c>
      <c r="D19" s="563">
        <f>'New Ints'!BZ158</f>
        <v>54032.190691107346</v>
      </c>
      <c r="E19" s="566">
        <f>C19/D19-1</f>
        <v>0.39918443122541136</v>
      </c>
      <c r="F19" s="563">
        <v>140100</v>
      </c>
      <c r="G19" s="566">
        <f>C19/F19-1</f>
        <v>-0.46037830121341894</v>
      </c>
      <c r="H19" s="563">
        <f>'New Ints'!V158</f>
        <v>53030</v>
      </c>
      <c r="I19" s="633">
        <f>C19/H19-1</f>
        <v>0.42562700358287753</v>
      </c>
    </row>
    <row r="20" spans="2:14">
      <c r="B20" s="547" t="s">
        <v>137</v>
      </c>
      <c r="C20" s="548">
        <f>'New Ints'!Z113</f>
        <v>127277</v>
      </c>
      <c r="D20" s="548">
        <f>'New Ints'!BZ113</f>
        <v>196660</v>
      </c>
      <c r="E20" s="551">
        <f>C20/D20-1</f>
        <v>-0.35280687480931561</v>
      </c>
      <c r="F20" s="547">
        <v>126400</v>
      </c>
      <c r="G20" s="547"/>
      <c r="H20" s="548">
        <f>'New Ints'!V113</f>
        <v>148695</v>
      </c>
      <c r="I20" s="632">
        <f>C20/H20-1</f>
        <v>-0.14403981304011571</v>
      </c>
    </row>
    <row r="21" spans="2:14">
      <c r="B21" s="562" t="s">
        <v>85</v>
      </c>
      <c r="C21" s="564">
        <f>C20/C5</f>
        <v>0.18930395542744616</v>
      </c>
      <c r="D21" s="564">
        <f>D20/D5</f>
        <v>0.30967516362010872</v>
      </c>
      <c r="E21" s="562"/>
      <c r="F21" s="562"/>
      <c r="G21" s="562"/>
      <c r="H21" s="564">
        <f>H20/H5</f>
        <v>0.23139373115096964</v>
      </c>
      <c r="I21" s="633"/>
    </row>
    <row r="22" spans="2:14">
      <c r="B22" s="547" t="s">
        <v>3026</v>
      </c>
      <c r="C22" s="548">
        <f>'New Ints'!Z131</f>
        <v>1147700</v>
      </c>
      <c r="D22" s="548">
        <f>'New Ints'!BZ131</f>
        <v>1776235.7318918556</v>
      </c>
      <c r="E22" s="547"/>
      <c r="F22" s="547"/>
      <c r="G22" s="547"/>
      <c r="H22" s="548">
        <f>'New Ints'!V131</f>
        <v>1598400</v>
      </c>
      <c r="I22" s="632">
        <f>C22/H22-1</f>
        <v>-0.28196946946946944</v>
      </c>
    </row>
    <row r="23" spans="2:14">
      <c r="B23" s="562" t="s">
        <v>3027</v>
      </c>
      <c r="C23" s="563">
        <f>'New Ints'!Z132</f>
        <v>1740583</v>
      </c>
      <c r="D23" s="563">
        <f>'New Ints'!BZ132</f>
        <v>2089035.7318918556</v>
      </c>
      <c r="E23" s="562"/>
      <c r="F23" s="562"/>
      <c r="G23" s="562"/>
      <c r="H23" s="563">
        <f>'New Ints'!V132</f>
        <v>1911200</v>
      </c>
      <c r="I23" s="633">
        <f>C23/H23-1</f>
        <v>-8.9272185014650507E-2</v>
      </c>
    </row>
    <row r="24" spans="2:14">
      <c r="B24" s="557" t="s">
        <v>3028</v>
      </c>
      <c r="C24" s="567">
        <f>'New Ints'!Z139</f>
        <v>2.3164841161048191</v>
      </c>
      <c r="D24" s="567">
        <f>'New Ints'!BZ139</f>
        <v>0</v>
      </c>
      <c r="E24" s="557"/>
      <c r="F24" s="557"/>
      <c r="G24" s="557"/>
      <c r="H24" s="567">
        <f>'New Ints'!V139</f>
        <v>2.5530118647192248</v>
      </c>
      <c r="I24" s="635">
        <f>C24/H24-1</f>
        <v>-9.2646552835514817E-2</v>
      </c>
    </row>
    <row r="27" spans="2:14">
      <c r="B27" s="552" t="s">
        <v>30</v>
      </c>
      <c r="C27" s="553" t="str">
        <f>Interims!BG291</f>
        <v>Q1 21</v>
      </c>
      <c r="D27" s="553" t="str">
        <f>Interims!BH291</f>
        <v>Q2 21</v>
      </c>
      <c r="E27" s="553" t="str">
        <f>Interims!BI291</f>
        <v>Q3 21</v>
      </c>
      <c r="F27" s="553" t="str">
        <f>Interims!BJ291</f>
        <v>Q4 21</v>
      </c>
      <c r="G27" s="553" t="str">
        <f>Interims!BK291</f>
        <v>Q1 22</v>
      </c>
      <c r="H27" s="553" t="str">
        <f>Interims!BL291</f>
        <v>Q2 22</v>
      </c>
      <c r="I27" s="553" t="str">
        <f>Interims!BM291</f>
        <v>Q3 22</v>
      </c>
      <c r="J27" s="553" t="str">
        <f>Interims!BN291</f>
        <v>Q4 22</v>
      </c>
      <c r="K27" s="553" t="str">
        <f>Interims!BO291</f>
        <v>Q1 23</v>
      </c>
      <c r="L27" s="553" t="str">
        <f>Interims!BP291</f>
        <v>Q2 23</v>
      </c>
      <c r="M27" s="553" t="str">
        <f>Interims!BQ291</f>
        <v>Q3 23</v>
      </c>
      <c r="N27" s="553">
        <f>Interims!BW291</f>
        <v>0</v>
      </c>
    </row>
    <row r="28" spans="2:14">
      <c r="B28" s="542" t="s">
        <v>133</v>
      </c>
      <c r="C28" s="554">
        <f>Interims!BG294</f>
        <v>3.3745877573121197E-2</v>
      </c>
      <c r="D28" s="554">
        <f>Interims!BH294</f>
        <v>0.17154292979527863</v>
      </c>
      <c r="E28" s="554">
        <f>Interims!BI294</f>
        <v>0.13190318954123814</v>
      </c>
      <c r="F28" s="554">
        <f>Interims!BJ294</f>
        <v>0.1124236890056094</v>
      </c>
      <c r="G28" s="554">
        <f>Interims!BK252</f>
        <v>0.14000000000000001</v>
      </c>
      <c r="H28" s="554">
        <f>Interims!BL252</f>
        <v>0.09</v>
      </c>
      <c r="I28" s="554">
        <f>Interims!BM252</f>
        <v>8.6999999999999994E-2</v>
      </c>
      <c r="J28" s="554">
        <f>Interims!BN252</f>
        <v>0.08</v>
      </c>
      <c r="K28" s="554">
        <f>Interims!BO252</f>
        <v>4.9000000000000002E-2</v>
      </c>
      <c r="L28" s="554">
        <f>Interims!BP252</f>
        <v>3.5000000000000003E-2</v>
      </c>
      <c r="M28" s="554">
        <f>Interims!BQ252</f>
        <v>0.04</v>
      </c>
      <c r="N28" s="554" t="str">
        <f>Interims!BW252</f>
        <v>$</v>
      </c>
    </row>
    <row r="29" spans="2:14">
      <c r="B29" s="542" t="s">
        <v>936</v>
      </c>
      <c r="C29" s="554">
        <v>4.1666666666666741E-2</v>
      </c>
      <c r="D29" s="554">
        <v>0.10439560439560447</v>
      </c>
      <c r="E29" s="554">
        <v>0.15775034293552803</v>
      </c>
      <c r="F29" s="554">
        <v>0.12255541069100384</v>
      </c>
      <c r="G29" s="554">
        <v>9.6774193548387011E-2</v>
      </c>
      <c r="H29" s="554">
        <v>7.4626865671641784E-2</v>
      </c>
      <c r="I29" s="554"/>
    </row>
    <row r="48" spans="2:2">
      <c r="B48" s="555" t="s">
        <v>2799</v>
      </c>
    </row>
    <row r="50" spans="2:13">
      <c r="B50" s="545" t="s">
        <v>400</v>
      </c>
      <c r="C50" s="546" t="s">
        <v>2705</v>
      </c>
      <c r="D50" s="546" t="s">
        <v>2727</v>
      </c>
      <c r="E50" s="546" t="s">
        <v>2797</v>
      </c>
      <c r="F50" s="546" t="s">
        <v>2819</v>
      </c>
      <c r="G50" s="546" t="s">
        <v>2904</v>
      </c>
      <c r="H50" s="546" t="s">
        <v>2907</v>
      </c>
      <c r="I50" s="546" t="s">
        <v>2928</v>
      </c>
      <c r="J50" s="546" t="s">
        <v>2929</v>
      </c>
      <c r="K50" s="546" t="s">
        <v>2931</v>
      </c>
      <c r="L50" s="546" t="s">
        <v>2934</v>
      </c>
      <c r="M50" s="544"/>
    </row>
    <row r="51" spans="2:13">
      <c r="B51" s="547" t="s">
        <v>2801</v>
      </c>
      <c r="C51" s="549"/>
      <c r="D51" s="549">
        <v>0.03</v>
      </c>
      <c r="E51" s="549">
        <v>0.04</v>
      </c>
      <c r="F51" s="549">
        <v>0.18</v>
      </c>
      <c r="G51" s="549">
        <v>0.1</v>
      </c>
      <c r="H51" s="549">
        <v>0.15</v>
      </c>
      <c r="I51" s="549">
        <v>0.08</v>
      </c>
      <c r="J51" s="549">
        <v>0.06</v>
      </c>
      <c r="K51" s="549">
        <v>0.08</v>
      </c>
      <c r="L51" s="549">
        <v>7.0000000000000007E-2</v>
      </c>
      <c r="M51" s="549"/>
    </row>
    <row r="52" spans="2:13">
      <c r="B52" s="547" t="s">
        <v>3039</v>
      </c>
      <c r="C52" s="549"/>
      <c r="D52" s="549"/>
      <c r="E52" s="549"/>
      <c r="F52" s="549"/>
      <c r="G52" s="549"/>
      <c r="H52" s="549"/>
      <c r="I52" s="549"/>
      <c r="J52" s="549"/>
      <c r="K52" s="549">
        <v>0.05</v>
      </c>
      <c r="L52" s="549">
        <v>0.03</v>
      </c>
      <c r="M52" s="549"/>
    </row>
    <row r="53" spans="2:13">
      <c r="B53" s="547" t="s">
        <v>2802</v>
      </c>
      <c r="C53" s="549">
        <v>0.17</v>
      </c>
      <c r="D53" s="549">
        <v>0.11</v>
      </c>
      <c r="E53" s="549">
        <v>0.21</v>
      </c>
      <c r="F53" s="549">
        <v>0.16</v>
      </c>
      <c r="G53" s="549">
        <v>0.09</v>
      </c>
      <c r="H53" s="549">
        <v>0.14000000000000001</v>
      </c>
      <c r="I53" s="549">
        <v>0.01</v>
      </c>
      <c r="J53" s="549">
        <v>0.05</v>
      </c>
      <c r="K53" s="549">
        <v>0.01</v>
      </c>
      <c r="L53" s="549"/>
      <c r="M53" s="549"/>
    </row>
    <row r="54" spans="2:13">
      <c r="B54" s="547" t="s">
        <v>3019</v>
      </c>
      <c r="C54" s="549"/>
      <c r="D54" s="549"/>
      <c r="E54" s="549"/>
      <c r="F54" s="549">
        <v>0.09</v>
      </c>
      <c r="G54" s="549">
        <v>0.16</v>
      </c>
      <c r="H54" s="549">
        <v>0.33</v>
      </c>
      <c r="I54" s="549">
        <v>0.15</v>
      </c>
      <c r="J54" s="549">
        <v>0.1</v>
      </c>
      <c r="K54" s="549">
        <v>7.0000000000000007E-2</v>
      </c>
      <c r="L54" s="549"/>
      <c r="M54" s="549"/>
    </row>
    <row r="55" spans="2:13">
      <c r="B55" s="547"/>
      <c r="C55" s="549"/>
      <c r="D55" s="549"/>
      <c r="E55" s="549"/>
      <c r="F55" s="549"/>
      <c r="G55" s="549"/>
    </row>
    <row r="56" spans="2:13">
      <c r="B56" s="547" t="s">
        <v>2906</v>
      </c>
      <c r="C56" s="549"/>
      <c r="D56" s="549"/>
      <c r="E56" s="549"/>
      <c r="F56" s="549">
        <v>0.08</v>
      </c>
      <c r="G56" s="549">
        <v>0.01</v>
      </c>
      <c r="H56" s="549">
        <v>0.11</v>
      </c>
      <c r="I56" s="549">
        <v>0.1</v>
      </c>
      <c r="J56" s="549">
        <v>0.04</v>
      </c>
      <c r="K56" s="549">
        <v>0.06</v>
      </c>
      <c r="L56" s="549">
        <v>-0.03</v>
      </c>
      <c r="M56" s="549"/>
    </row>
    <row r="57" spans="2:13">
      <c r="B57" s="547" t="s">
        <v>2804</v>
      </c>
      <c r="C57" s="549"/>
      <c r="D57" s="549">
        <v>-0.06</v>
      </c>
      <c r="E57" s="549">
        <v>0.01</v>
      </c>
      <c r="F57" s="549">
        <v>0.1</v>
      </c>
      <c r="G57" s="549">
        <v>7.0000000000000007E-2</v>
      </c>
      <c r="H57" s="549">
        <v>0.15</v>
      </c>
      <c r="I57" s="549">
        <v>0.06</v>
      </c>
      <c r="J57" s="549">
        <v>0.04</v>
      </c>
      <c r="K57" s="549">
        <v>-0.02</v>
      </c>
      <c r="L57" s="549">
        <v>-7.0000000000000007E-2</v>
      </c>
      <c r="M57" s="549"/>
    </row>
    <row r="58" spans="2:13">
      <c r="B58" s="547" t="s">
        <v>3040</v>
      </c>
      <c r="C58" s="549"/>
      <c r="D58" s="549"/>
      <c r="E58" s="549"/>
      <c r="F58" s="549"/>
      <c r="G58" s="549"/>
      <c r="H58" s="549"/>
      <c r="I58" s="549"/>
      <c r="J58" s="549"/>
      <c r="K58" s="549">
        <v>-0.04</v>
      </c>
      <c r="L58" s="549">
        <v>-0.1</v>
      </c>
      <c r="M58" s="549"/>
    </row>
    <row r="59" spans="2:13">
      <c r="B59" s="547" t="s">
        <v>2805</v>
      </c>
      <c r="C59" s="549">
        <v>-0.03</v>
      </c>
      <c r="D59" s="549">
        <v>-0.05</v>
      </c>
      <c r="E59" s="549">
        <v>-0.02</v>
      </c>
      <c r="F59" s="549">
        <v>0.02</v>
      </c>
      <c r="G59" s="549">
        <v>-0.03</v>
      </c>
      <c r="H59" s="556" t="s">
        <v>2908</v>
      </c>
      <c r="I59" s="556">
        <v>0.13</v>
      </c>
      <c r="J59" s="556">
        <v>0.04</v>
      </c>
      <c r="K59" s="556">
        <v>0.14000000000000001</v>
      </c>
      <c r="L59" s="556">
        <v>0.03</v>
      </c>
      <c r="M59" s="556"/>
    </row>
    <row r="60" spans="2:13">
      <c r="B60" s="547"/>
      <c r="C60" s="549"/>
      <c r="D60" s="549"/>
      <c r="E60" s="549"/>
      <c r="F60" s="549"/>
      <c r="G60" s="549"/>
    </row>
    <row r="61" spans="2:13">
      <c r="B61" s="547" t="s">
        <v>1636</v>
      </c>
      <c r="C61" s="549">
        <v>8.4634250744072492E-2</v>
      </c>
      <c r="D61" s="549">
        <v>7.5053588547668859E-4</v>
      </c>
      <c r="E61" s="549">
        <v>4.5448753695773281E-2</v>
      </c>
      <c r="F61" s="549">
        <v>1.3362450749825339E-3</v>
      </c>
      <c r="G61" s="549">
        <v>-1.9749817921528745E-2</v>
      </c>
      <c r="H61" s="554">
        <v>5.5494670983148531E-2</v>
      </c>
      <c r="I61" s="554">
        <v>1.8853317910704881E-2</v>
      </c>
      <c r="J61" s="554">
        <v>2.7210212065060801E-2</v>
      </c>
      <c r="K61" s="554">
        <v>8.1713603035813653E-2</v>
      </c>
    </row>
    <row r="62" spans="2:13">
      <c r="B62" s="547"/>
      <c r="C62" s="549"/>
      <c r="D62" s="549"/>
      <c r="E62" s="549"/>
      <c r="F62" s="549"/>
      <c r="G62" s="549"/>
    </row>
    <row r="63" spans="2:13">
      <c r="B63" s="547" t="s">
        <v>2905</v>
      </c>
      <c r="C63" s="549">
        <f>'New Ints'!AR19</f>
        <v>5.6201196124905373E-3</v>
      </c>
      <c r="D63" s="549">
        <f>'New Ints'!AS19</f>
        <v>8.8741024162923843E-3</v>
      </c>
      <c r="E63" s="549">
        <f>'New Ints'!AT19</f>
        <v>3.6569459823347028E-2</v>
      </c>
      <c r="F63" s="549">
        <f>'New Ints'!AU19</f>
        <v>8.6364108585390564E-2</v>
      </c>
      <c r="G63" s="549">
        <f>'New Ints'!AV19</f>
        <v>5.169526582230155E-2</v>
      </c>
      <c r="H63" s="549">
        <f>'New Ints'!AW19</f>
        <v>0.13672713891592325</v>
      </c>
      <c r="I63" s="549">
        <f>'New Ints'!AX19</f>
        <v>9.3944776050141066E-2</v>
      </c>
      <c r="J63" s="549">
        <f>'New Ints'!AY19</f>
        <v>6.5868949249830111E-2</v>
      </c>
      <c r="K63" s="549">
        <f>'New Ints'!AZ19</f>
        <v>3.219100410446063E-2</v>
      </c>
      <c r="L63" s="549">
        <f>'New Ints'!BA19</f>
        <v>3.7413530961694086E-4</v>
      </c>
      <c r="M63" s="549"/>
    </row>
    <row r="64" spans="2:13">
      <c r="B64" s="547" t="s">
        <v>2806</v>
      </c>
      <c r="C64" s="549">
        <v>-8.2253458046791517E-2</v>
      </c>
      <c r="D64" s="549">
        <v>-0.13784372734562622</v>
      </c>
      <c r="E64" s="549">
        <v>-1.5399815444475884E-2</v>
      </c>
      <c r="F64" s="549"/>
      <c r="G64" s="549"/>
    </row>
    <row r="65" spans="2:19">
      <c r="B65" s="547" t="s">
        <v>2807</v>
      </c>
      <c r="C65" s="549">
        <v>-3.0794961178123637E-2</v>
      </c>
      <c r="D65" s="549">
        <v>-0.13968449976669761</v>
      </c>
      <c r="E65" s="549">
        <v>-6.5690068177630345E-2</v>
      </c>
      <c r="F65" s="549">
        <v>-3.7584509477853412E-2</v>
      </c>
      <c r="G65" s="549">
        <v>3.7221154859066186E-3</v>
      </c>
      <c r="H65" s="549">
        <v>6.5000000000000002E-2</v>
      </c>
      <c r="I65" s="549">
        <v>0.11899999999999999</v>
      </c>
      <c r="J65" s="549">
        <v>2.7E-2</v>
      </c>
      <c r="K65" s="549">
        <v>0</v>
      </c>
      <c r="L65" s="549">
        <v>-3.7027512177057242E-2</v>
      </c>
      <c r="M65" s="549"/>
    </row>
    <row r="66" spans="2:19">
      <c r="B66" s="547" t="s">
        <v>2800</v>
      </c>
      <c r="C66" s="549">
        <v>0</v>
      </c>
      <c r="D66" s="549">
        <v>-4.9553418069391952E-2</v>
      </c>
      <c r="E66" s="549">
        <v>-9.0240251398723936E-2</v>
      </c>
      <c r="F66" s="549">
        <v>-0.10452851056857282</v>
      </c>
      <c r="G66" s="549">
        <v>-3.7375866489928078E-2</v>
      </c>
      <c r="H66" s="549">
        <v>-1.7999999999999999E-2</v>
      </c>
      <c r="I66" s="549">
        <v>0.02</v>
      </c>
      <c r="J66" s="549">
        <v>-0.03</v>
      </c>
      <c r="K66" s="549">
        <v>-8.5999999999999993E-2</v>
      </c>
      <c r="L66" s="549">
        <v>-0.10069044879171463</v>
      </c>
      <c r="M66" s="549"/>
    </row>
    <row r="67" spans="2:19">
      <c r="B67" s="557" t="s">
        <v>2803</v>
      </c>
      <c r="C67" s="558">
        <v>-2.5204638923050471E-2</v>
      </c>
      <c r="D67" s="558">
        <v>-9.3897017846265474E-2</v>
      </c>
      <c r="E67" s="558">
        <v>-4.8667892492468945E-2</v>
      </c>
      <c r="F67" s="558">
        <v>6.3038254906724323E-3</v>
      </c>
      <c r="G67" s="558">
        <v>9.3468086549548524E-3</v>
      </c>
      <c r="H67" s="558">
        <v>7.5999999999999998E-2</v>
      </c>
      <c r="I67" s="558">
        <v>0.01</v>
      </c>
      <c r="J67" s="558">
        <v>-0.02</v>
      </c>
      <c r="K67" s="558">
        <v>-0.02</v>
      </c>
      <c r="L67" s="558">
        <v>-5.0494035666316495E-2</v>
      </c>
      <c r="M67" s="549"/>
    </row>
    <row r="68" spans="2:19">
      <c r="B68" s="547"/>
      <c r="C68" s="547"/>
      <c r="D68" s="547"/>
      <c r="E68" s="547"/>
      <c r="F68" s="547"/>
    </row>
    <row r="69" spans="2:19">
      <c r="B69" s="543" t="s">
        <v>3020</v>
      </c>
      <c r="C69" s="546" t="str">
        <f t="shared" ref="C69:L69" si="1">C50</f>
        <v>Q1 20</v>
      </c>
      <c r="D69" s="546" t="str">
        <f t="shared" si="1"/>
        <v>Q2 20</v>
      </c>
      <c r="E69" s="546" t="str">
        <f t="shared" si="1"/>
        <v>Q3 20</v>
      </c>
      <c r="F69" s="546" t="str">
        <f t="shared" si="1"/>
        <v>Q4 20</v>
      </c>
      <c r="G69" s="546" t="str">
        <f t="shared" si="1"/>
        <v>Q1 21</v>
      </c>
      <c r="H69" s="546" t="str">
        <f t="shared" si="1"/>
        <v>Q2 21</v>
      </c>
      <c r="I69" s="546" t="str">
        <f t="shared" si="1"/>
        <v>Q3 21</v>
      </c>
      <c r="J69" s="546" t="str">
        <f t="shared" si="1"/>
        <v>Q4 21</v>
      </c>
      <c r="K69" s="546" t="str">
        <f t="shared" si="1"/>
        <v>Q1 22</v>
      </c>
      <c r="L69" s="546" t="str">
        <f t="shared" si="1"/>
        <v>Q2 22</v>
      </c>
      <c r="M69" s="546"/>
      <c r="N69" s="546"/>
      <c r="O69" s="546"/>
      <c r="P69" s="546"/>
      <c r="Q69" s="546"/>
      <c r="R69" s="546"/>
      <c r="S69" s="546"/>
    </row>
    <row r="70" spans="2:19">
      <c r="B70" s="547" t="s">
        <v>1321</v>
      </c>
      <c r="C70" s="549">
        <f>'New Ints'!AR19</f>
        <v>5.6201196124905373E-3</v>
      </c>
      <c r="D70" s="549">
        <f>'New Ints'!AS19</f>
        <v>8.8741024162923843E-3</v>
      </c>
      <c r="E70" s="549">
        <f>'New Ints'!AT19</f>
        <v>3.6569459823347028E-2</v>
      </c>
      <c r="F70" s="549">
        <f>'New Ints'!AU19</f>
        <v>8.6364108585390564E-2</v>
      </c>
      <c r="G70" s="549">
        <f>'New Ints'!AV19</f>
        <v>5.169526582230155E-2</v>
      </c>
      <c r="H70" s="549">
        <f>'New Ints'!AW19</f>
        <v>0.13672713891592325</v>
      </c>
      <c r="I70" s="549">
        <f>'New Ints'!AX19</f>
        <v>9.3944776050141066E-2</v>
      </c>
      <c r="J70" s="549">
        <f>'New Ints'!AY19</f>
        <v>6.5868949249830111E-2</v>
      </c>
      <c r="K70" s="549">
        <f>'New Ints'!AZ19</f>
        <v>3.219100410446063E-2</v>
      </c>
      <c r="L70" s="549">
        <f>'New Ints'!BA19</f>
        <v>3.7413530961694086E-4</v>
      </c>
      <c r="M70" s="549"/>
      <c r="N70" s="549"/>
      <c r="O70" s="549"/>
      <c r="P70" s="549"/>
      <c r="Q70" s="549"/>
      <c r="R70" s="549"/>
      <c r="S70" s="549"/>
    </row>
    <row r="71" spans="2:19">
      <c r="B71" s="547" t="s">
        <v>1636</v>
      </c>
      <c r="C71" s="554">
        <f>C61</f>
        <v>8.4634250744072492E-2</v>
      </c>
      <c r="D71" s="554">
        <f t="shared" ref="D71:K71" si="2">D61</f>
        <v>7.5053588547668859E-4</v>
      </c>
      <c r="E71" s="554">
        <f t="shared" si="2"/>
        <v>4.5448753695773281E-2</v>
      </c>
      <c r="F71" s="554">
        <f t="shared" si="2"/>
        <v>1.3362450749825339E-3</v>
      </c>
      <c r="G71" s="554">
        <f t="shared" si="2"/>
        <v>-1.9749817921528745E-2</v>
      </c>
      <c r="H71" s="554">
        <f t="shared" si="2"/>
        <v>5.5494670983148531E-2</v>
      </c>
      <c r="I71" s="554">
        <f t="shared" si="2"/>
        <v>1.8853317910704881E-2</v>
      </c>
      <c r="J71" s="554">
        <f t="shared" si="2"/>
        <v>2.7210212065060801E-2</v>
      </c>
      <c r="K71" s="554">
        <f t="shared" si="2"/>
        <v>8.1713603035813653E-2</v>
      </c>
      <c r="L71" s="554"/>
      <c r="M71" s="554"/>
    </row>
    <row r="72" spans="2:19">
      <c r="B72" s="547" t="s">
        <v>936</v>
      </c>
      <c r="C72" s="549">
        <f t="shared" ref="C72:L72" si="3">C66</f>
        <v>0</v>
      </c>
      <c r="D72" s="549">
        <f t="shared" si="3"/>
        <v>-4.9553418069391952E-2</v>
      </c>
      <c r="E72" s="549">
        <f t="shared" si="3"/>
        <v>-9.0240251398723936E-2</v>
      </c>
      <c r="F72" s="549">
        <f t="shared" si="3"/>
        <v>-0.10452851056857282</v>
      </c>
      <c r="G72" s="549">
        <f t="shared" si="3"/>
        <v>-3.7375866489928078E-2</v>
      </c>
      <c r="H72" s="549">
        <f t="shared" si="3"/>
        <v>-1.7999999999999999E-2</v>
      </c>
      <c r="I72" s="549">
        <f t="shared" si="3"/>
        <v>0.02</v>
      </c>
      <c r="J72" s="549">
        <f t="shared" si="3"/>
        <v>-0.03</v>
      </c>
      <c r="K72" s="549">
        <f t="shared" si="3"/>
        <v>-8.5999999999999993E-2</v>
      </c>
      <c r="L72" s="549">
        <f t="shared" si="3"/>
        <v>-0.10069044879171463</v>
      </c>
      <c r="M72" s="549">
        <f t="shared" ref="M72" si="4">M66</f>
        <v>0</v>
      </c>
    </row>
    <row r="75" spans="2:19">
      <c r="B75" s="559" t="s">
        <v>1487</v>
      </c>
      <c r="C75" s="547"/>
      <c r="D75" s="547"/>
      <c r="E75" s="547"/>
      <c r="F75" s="547"/>
      <c r="G75" s="547"/>
      <c r="H75" s="547"/>
    </row>
    <row r="76" spans="2:19">
      <c r="B76" s="547"/>
      <c r="C76" s="547"/>
      <c r="D76" s="547"/>
      <c r="E76" s="547"/>
      <c r="F76" s="547"/>
      <c r="G76" s="547"/>
      <c r="H76" s="547"/>
    </row>
    <row r="77" spans="2:19">
      <c r="B77" s="547"/>
      <c r="C77" s="546" t="str">
        <f t="shared" ref="C77:L77" si="5">C69</f>
        <v>Q1 20</v>
      </c>
      <c r="D77" s="546" t="str">
        <f t="shared" si="5"/>
        <v>Q2 20</v>
      </c>
      <c r="E77" s="546" t="str">
        <f t="shared" si="5"/>
        <v>Q3 20</v>
      </c>
      <c r="F77" s="546" t="str">
        <f t="shared" si="5"/>
        <v>Q4 20</v>
      </c>
      <c r="G77" s="546" t="str">
        <f t="shared" si="5"/>
        <v>Q1 21</v>
      </c>
      <c r="H77" s="546" t="str">
        <f t="shared" si="5"/>
        <v>Q2 21</v>
      </c>
      <c r="I77" s="546" t="str">
        <f t="shared" si="5"/>
        <v>Q3 21</v>
      </c>
      <c r="J77" s="546" t="str">
        <f t="shared" si="5"/>
        <v>Q4 21</v>
      </c>
      <c r="K77" s="546" t="str">
        <f t="shared" si="5"/>
        <v>Q1 22</v>
      </c>
      <c r="L77" s="546" t="str">
        <f t="shared" si="5"/>
        <v>Q2 22</v>
      </c>
      <c r="M77" s="546" t="s">
        <v>2933</v>
      </c>
    </row>
    <row r="78" spans="2:19">
      <c r="B78" s="547" t="s">
        <v>1435</v>
      </c>
      <c r="C78" s="547"/>
      <c r="D78" s="547"/>
      <c r="E78" s="547"/>
      <c r="F78" s="547"/>
      <c r="G78" s="547"/>
      <c r="H78" s="547">
        <v>601</v>
      </c>
      <c r="I78" s="560">
        <v>680</v>
      </c>
      <c r="J78" s="542">
        <v>769</v>
      </c>
      <c r="K78" s="542">
        <v>827</v>
      </c>
      <c r="L78" s="542">
        <f>K78+73</f>
        <v>900</v>
      </c>
      <c r="M78" s="560">
        <f>I78*1.54</f>
        <v>1047.2</v>
      </c>
    </row>
    <row r="79" spans="2:19">
      <c r="B79" s="547" t="s">
        <v>2913</v>
      </c>
      <c r="C79" s="547"/>
      <c r="D79" s="547"/>
      <c r="E79" s="547"/>
      <c r="F79" s="547"/>
      <c r="G79" s="547"/>
      <c r="H79" s="547">
        <v>194</v>
      </c>
      <c r="K79" s="542">
        <v>277</v>
      </c>
      <c r="L79" s="542">
        <v>298</v>
      </c>
    </row>
    <row r="80" spans="2:19">
      <c r="B80" s="547" t="s">
        <v>3031</v>
      </c>
      <c r="C80" s="547"/>
      <c r="D80" s="547"/>
      <c r="E80" s="547"/>
      <c r="F80" s="547"/>
      <c r="G80" s="547"/>
      <c r="H80" s="547"/>
      <c r="I80" s="560"/>
      <c r="J80" s="560"/>
      <c r="K80" s="549">
        <v>0.22</v>
      </c>
      <c r="L80" s="549">
        <v>0.21</v>
      </c>
      <c r="M80" s="549">
        <v>0.19</v>
      </c>
    </row>
    <row r="81" spans="2:15">
      <c r="B81" s="547" t="s">
        <v>3037</v>
      </c>
      <c r="C81" s="547"/>
      <c r="D81" s="547"/>
      <c r="E81" s="547"/>
      <c r="F81" s="547"/>
      <c r="G81" s="547"/>
      <c r="H81" s="561"/>
      <c r="I81" s="560"/>
      <c r="J81" s="560"/>
      <c r="K81" s="561">
        <f>K80*K78</f>
        <v>181.94</v>
      </c>
      <c r="L81" s="561">
        <f>L80*L78</f>
        <v>189</v>
      </c>
      <c r="M81" s="561">
        <f>M80*M78</f>
        <v>198.96800000000002</v>
      </c>
    </row>
    <row r="82" spans="2:15">
      <c r="B82" s="547"/>
      <c r="C82" s="547"/>
      <c r="D82" s="547"/>
      <c r="E82" s="547"/>
      <c r="F82" s="547"/>
      <c r="G82" s="547"/>
      <c r="H82" s="547"/>
      <c r="K82" s="554"/>
      <c r="L82" s="554"/>
      <c r="M82" s="554"/>
    </row>
    <row r="83" spans="2:15">
      <c r="B83" s="543" t="s">
        <v>3038</v>
      </c>
      <c r="C83" s="547"/>
      <c r="D83" s="547"/>
      <c r="E83" s="547"/>
      <c r="F83" s="547"/>
      <c r="G83" s="547"/>
      <c r="H83" s="547"/>
      <c r="K83" s="554"/>
      <c r="L83" s="554"/>
      <c r="M83" s="554"/>
    </row>
    <row r="84" spans="2:15">
      <c r="B84" s="547" t="s">
        <v>2914</v>
      </c>
      <c r="C84" s="547"/>
      <c r="D84" s="547"/>
      <c r="E84" s="547"/>
      <c r="F84" s="547"/>
      <c r="G84" s="547"/>
      <c r="H84" s="547">
        <v>212</v>
      </c>
      <c r="I84" s="560">
        <v>237.4</v>
      </c>
      <c r="J84" s="560">
        <v>259.7</v>
      </c>
      <c r="K84" s="561">
        <v>284.89999999999998</v>
      </c>
      <c r="L84" s="561">
        <v>284.89999999999998</v>
      </c>
      <c r="M84" s="561"/>
    </row>
    <row r="85" spans="2:15">
      <c r="B85" s="547" t="s">
        <v>2988</v>
      </c>
      <c r="C85" s="547"/>
      <c r="D85" s="547"/>
      <c r="E85" s="547"/>
      <c r="F85" s="547"/>
      <c r="G85" s="547"/>
      <c r="H85" s="547"/>
      <c r="I85" s="560"/>
      <c r="J85" s="560"/>
      <c r="K85" s="561"/>
      <c r="L85" s="561">
        <v>253</v>
      </c>
      <c r="M85" s="561"/>
    </row>
    <row r="86" spans="2:15">
      <c r="B86" s="547"/>
      <c r="C86" s="547"/>
      <c r="D86" s="547"/>
      <c r="E86" s="547"/>
      <c r="F86" s="547"/>
      <c r="G86" s="547"/>
      <c r="H86" s="547"/>
      <c r="I86" s="560"/>
      <c r="J86" s="560"/>
      <c r="K86" s="561"/>
      <c r="L86" s="561"/>
      <c r="M86" s="561"/>
    </row>
    <row r="87" spans="2:15">
      <c r="B87" s="547"/>
      <c r="C87" s="544" t="str">
        <f t="shared" ref="C87:L87" si="6">C77</f>
        <v>Q1 20</v>
      </c>
      <c r="D87" s="544" t="str">
        <f t="shared" si="6"/>
        <v>Q2 20</v>
      </c>
      <c r="E87" s="544" t="str">
        <f t="shared" si="6"/>
        <v>Q3 20</v>
      </c>
      <c r="F87" s="544" t="str">
        <f t="shared" si="6"/>
        <v>Q4 20</v>
      </c>
      <c r="G87" s="544" t="str">
        <f t="shared" si="6"/>
        <v>Q1 21</v>
      </c>
      <c r="H87" s="544" t="str">
        <f t="shared" si="6"/>
        <v>Q2 21</v>
      </c>
      <c r="I87" s="544" t="str">
        <f t="shared" si="6"/>
        <v>Q3 21</v>
      </c>
      <c r="J87" s="544" t="str">
        <f t="shared" si="6"/>
        <v>Q4 21</v>
      </c>
      <c r="K87" s="544" t="str">
        <f t="shared" si="6"/>
        <v>Q1 22</v>
      </c>
      <c r="L87" s="544" t="str">
        <f t="shared" si="6"/>
        <v>Q2 22</v>
      </c>
      <c r="M87" s="544"/>
    </row>
    <row r="88" spans="2:15">
      <c r="B88" s="547" t="s">
        <v>3042</v>
      </c>
      <c r="C88" s="551">
        <f>'New Ints'!K67</f>
        <v>0.37809031660284659</v>
      </c>
      <c r="D88" s="551">
        <f>'New Ints'!L67</f>
        <v>0.39384382795373801</v>
      </c>
      <c r="E88" s="551">
        <f>'New Ints'!M67</f>
        <v>0.36376877485958842</v>
      </c>
      <c r="F88" s="551">
        <f>'New Ints'!N67</f>
        <v>0.37801636759516483</v>
      </c>
      <c r="G88" s="551">
        <f>'New Ints'!O67</f>
        <v>0.36679407451315044</v>
      </c>
      <c r="H88" s="551">
        <f>'New Ints'!P67</f>
        <v>0.38937232037346303</v>
      </c>
      <c r="I88" s="551">
        <f>'New Ints'!Q67</f>
        <v>0.39263109877786861</v>
      </c>
      <c r="J88" s="551">
        <f>'New Ints'!R67</f>
        <v>0.37719628412625472</v>
      </c>
      <c r="K88" s="551">
        <f>'New Ints'!S67</f>
        <v>0.37010821200581695</v>
      </c>
      <c r="L88" s="551">
        <f>'New Ints'!T67</f>
        <v>0.35615535297219919</v>
      </c>
      <c r="M88" s="551"/>
      <c r="N88" s="554"/>
      <c r="O88" s="554"/>
    </row>
    <row r="89" spans="2:15">
      <c r="B89" s="547"/>
      <c r="C89" s="551"/>
      <c r="D89" s="551"/>
      <c r="E89" s="551"/>
      <c r="F89" s="551"/>
      <c r="G89" s="551"/>
      <c r="H89" s="551"/>
      <c r="I89" s="551"/>
      <c r="J89" s="551"/>
      <c r="K89" s="551">
        <v>0.2</v>
      </c>
      <c r="L89" s="551">
        <f>'New Ints'!T71</f>
        <v>0</v>
      </c>
      <c r="M89" s="551"/>
      <c r="N89" s="554"/>
      <c r="O89" s="554"/>
    </row>
    <row r="90" spans="2:15">
      <c r="B90" s="547" t="s">
        <v>1276</v>
      </c>
      <c r="C90" s="548">
        <f>'New Ints'!K60</f>
        <v>132211</v>
      </c>
      <c r="D90" s="548">
        <f>'New Ints'!L60</f>
        <v>130254</v>
      </c>
      <c r="E90" s="548">
        <f>'New Ints'!M60</f>
        <v>133617</v>
      </c>
      <c r="F90" s="548">
        <f>'New Ints'!N60</f>
        <v>151044</v>
      </c>
      <c r="G90" s="548">
        <f>'New Ints'!O60</f>
        <v>143561</v>
      </c>
      <c r="H90" s="548">
        <f>'New Ints'!P60</f>
        <v>159476</v>
      </c>
      <c r="I90" s="548">
        <f>'New Ints'!Q60</f>
        <v>165260</v>
      </c>
      <c r="J90" s="548">
        <f>'New Ints'!R60</f>
        <v>163349</v>
      </c>
      <c r="K90" s="548">
        <f>'New Ints'!S60</f>
        <v>153465</v>
      </c>
      <c r="L90" s="548">
        <f>'New Ints'!T60</f>
        <v>151272</v>
      </c>
      <c r="M90" s="548"/>
    </row>
    <row r="93" spans="2:15">
      <c r="B93" s="542" t="s">
        <v>3041</v>
      </c>
      <c r="C93" s="568">
        <f>'New Ints'!K68</f>
        <v>0.15889255413679354</v>
      </c>
      <c r="D93" s="568">
        <f>'New Ints'!L68</f>
        <v>0.14321236347612604</v>
      </c>
      <c r="E93" s="568">
        <f>'New Ints'!M68</f>
        <v>0.13571505913208773</v>
      </c>
      <c r="F93" s="568">
        <f>'New Ints'!N68</f>
        <v>0.13322761831539381</v>
      </c>
      <c r="G93" s="568">
        <f>'New Ints'!O68</f>
        <v>0.16462087627382119</v>
      </c>
      <c r="H93" s="568">
        <f>'New Ints'!P68</f>
        <v>0.17955973154362417</v>
      </c>
      <c r="I93" s="568">
        <f>'New Ints'!Q68</f>
        <v>0.1907273059806133</v>
      </c>
      <c r="J93" s="568">
        <f>'New Ints'!R68</f>
        <v>0.14423671164662205</v>
      </c>
      <c r="K93" s="568">
        <f>'New Ints'!S68</f>
        <v>0.18326351122791495</v>
      </c>
      <c r="L93" s="568">
        <f>'New Ints'!T68</f>
        <v>0.21352283643349926</v>
      </c>
      <c r="M93" s="568"/>
    </row>
    <row r="137" spans="2:15">
      <c r="B137" s="542" t="s">
        <v>132</v>
      </c>
      <c r="C137" s="636" t="str">
        <f>'New Ints'!AV2</f>
        <v>Q1 21</v>
      </c>
      <c r="D137" s="636" t="str">
        <f>'New Ints'!AW2</f>
        <v>Q2 21</v>
      </c>
      <c r="E137" s="636" t="str">
        <f>'New Ints'!AX2</f>
        <v>Q3 21</v>
      </c>
      <c r="F137" s="636" t="str">
        <f>'New Ints'!AY2</f>
        <v>Q4 21</v>
      </c>
      <c r="G137" s="636" t="str">
        <f>'New Ints'!AZ2</f>
        <v>Q1 22</v>
      </c>
      <c r="H137" s="636" t="str">
        <f>'New Ints'!BA2</f>
        <v>Q2 22</v>
      </c>
      <c r="I137" s="636" t="str">
        <f>'New Ints'!BB2</f>
        <v>Q3 22</v>
      </c>
      <c r="J137" s="636" t="str">
        <f>'New Ints'!BC2</f>
        <v>Q4 22</v>
      </c>
      <c r="K137" s="636" t="str">
        <f>'New Ints'!BD2</f>
        <v>Q1 23</v>
      </c>
      <c r="L137" s="636" t="str">
        <f>'New Ints'!BE2</f>
        <v>Q2 23</v>
      </c>
      <c r="M137" s="636" t="str">
        <f>'New Ints'!BF2</f>
        <v>Q3 23</v>
      </c>
      <c r="N137" s="636" t="str">
        <f>'New Ints'!BG2</f>
        <v>Q4 23</v>
      </c>
    </row>
    <row r="138" spans="2:15">
      <c r="B138" s="542" t="s">
        <v>3325</v>
      </c>
      <c r="C138" s="637">
        <f>'New Ints'!AV3</f>
        <v>0.15443583118001714</v>
      </c>
      <c r="D138" s="637">
        <f>'New Ints'!AW3</f>
        <v>0.323320815832562</v>
      </c>
      <c r="E138" s="637">
        <f>'New Ints'!AX3</f>
        <v>0.13200835703447278</v>
      </c>
      <c r="F138" s="637">
        <f>'New Ints'!AY3</f>
        <v>9.2133415039831856E-2</v>
      </c>
      <c r="G138" s="637">
        <f>'New Ints'!AZ3</f>
        <v>3.918809932388978E-2</v>
      </c>
      <c r="H138" s="637">
        <f>'New Ints'!BA3</f>
        <v>1.3876046923700258E-2</v>
      </c>
      <c r="I138" s="637">
        <f>'New Ints'!BB3</f>
        <v>-4.3537126286967154E-2</v>
      </c>
      <c r="J138" s="637">
        <f>'New Ints'!BC3</f>
        <v>-7.3908415254291593E-2</v>
      </c>
      <c r="K138" s="637">
        <f>'New Ints'!BD3</f>
        <v>-9.8395517157675583E-3</v>
      </c>
      <c r="L138" s="637">
        <f>'New Ints'!BE3</f>
        <v>-5.8528383729182232E-2</v>
      </c>
      <c r="M138" s="637">
        <f>'New Ints'!BF3</f>
        <v>-2.0289303924054147E-2</v>
      </c>
      <c r="N138" s="637">
        <f>'New Ints'!BG3</f>
        <v>7.074627382415577E-2</v>
      </c>
      <c r="O138" s="554"/>
    </row>
    <row r="160" spans="2:10">
      <c r="B160" s="542" t="s">
        <v>132</v>
      </c>
      <c r="C160" s="636" t="str">
        <f>'New Ints'!S2</f>
        <v>Q1 22</v>
      </c>
      <c r="D160" s="636" t="str">
        <f>'New Ints'!T2</f>
        <v>Q2 22</v>
      </c>
      <c r="E160" s="636" t="str">
        <f>'New Ints'!U2</f>
        <v>Q3 22</v>
      </c>
      <c r="F160" s="636" t="str">
        <f>'New Ints'!V2</f>
        <v>Q4 22</v>
      </c>
      <c r="G160" s="636" t="str">
        <f>'New Ints'!W2</f>
        <v>Q1 23</v>
      </c>
      <c r="H160" s="636" t="str">
        <f>'New Ints'!X2</f>
        <v>Q2 23</v>
      </c>
      <c r="I160" s="636" t="str">
        <f>'New Ints'!Y2</f>
        <v>Q3 23</v>
      </c>
      <c r="J160" s="636" t="str">
        <f>'New Ints'!Z2</f>
        <v>Q4 23</v>
      </c>
    </row>
    <row r="161" spans="2:10">
      <c r="B161" s="542" t="s">
        <v>3319</v>
      </c>
      <c r="C161" s="637">
        <f>'New Ints'!S21</f>
        <v>0.06</v>
      </c>
      <c r="D161" s="637">
        <f>'New Ints'!T21</f>
        <v>0</v>
      </c>
      <c r="E161" s="637">
        <f>'New Ints'!U21</f>
        <v>-6.0000000000000001E-3</v>
      </c>
      <c r="F161" s="637">
        <f>'New Ints'!V21</f>
        <v>-7.4999999999999997E-2</v>
      </c>
      <c r="G161" s="637">
        <f>'New Ints'!W21</f>
        <v>1.7999999999999999E-2</v>
      </c>
      <c r="H161" s="637">
        <f>'New Ints'!X21</f>
        <v>4.0000000000000001E-3</v>
      </c>
      <c r="I161" s="637">
        <f>'New Ints'!Y21</f>
        <v>4.0000000000000001E-3</v>
      </c>
      <c r="J161" s="637">
        <f>'New Ints'!Z21</f>
        <v>7.4999999999999997E-2</v>
      </c>
    </row>
    <row r="162" spans="2:10">
      <c r="B162" s="542" t="str">
        <f>'New Ints'!B23</f>
        <v>B2C postpaid MSR</v>
      </c>
      <c r="C162" s="636"/>
      <c r="D162" s="636"/>
      <c r="E162" s="636"/>
      <c r="F162" s="637"/>
      <c r="G162" s="637">
        <f>'New Ints'!W23</f>
        <v>3.9E-2</v>
      </c>
      <c r="H162" s="637">
        <f>'New Ints'!X23</f>
        <v>2.8000000000000001E-2</v>
      </c>
      <c r="I162" s="637">
        <f>'New Ints'!Y23</f>
        <v>2.3E-2</v>
      </c>
      <c r="J162" s="637">
        <f>'New Ints'!Z23</f>
        <v>3.7999999999999999E-2</v>
      </c>
    </row>
    <row r="163" spans="2:10">
      <c r="B163" s="542" t="str">
        <f>'New Ints'!B24</f>
        <v>B2C prepaid MSR</v>
      </c>
      <c r="C163" s="636"/>
      <c r="D163" s="636"/>
      <c r="E163" s="636"/>
      <c r="F163" s="637"/>
      <c r="G163" s="637">
        <f>'New Ints'!W24</f>
        <v>-0.20200000000000001</v>
      </c>
      <c r="H163" s="637">
        <f>'New Ints'!X24</f>
        <v>-0.21299999999999999</v>
      </c>
      <c r="I163" s="637">
        <f>'New Ints'!Y24</f>
        <v>-0.23</v>
      </c>
      <c r="J163" s="637">
        <f>'New Ints'!Z24</f>
        <v>-0.16800000000000001</v>
      </c>
    </row>
    <row r="164" spans="2:10">
      <c r="B164" s="542" t="str">
        <f>'New Ints'!B25</f>
        <v>B2B MSR</v>
      </c>
      <c r="C164" s="636"/>
      <c r="D164" s="636"/>
      <c r="E164" s="636"/>
      <c r="F164" s="637"/>
      <c r="G164" s="637">
        <f>'New Ints'!W25</f>
        <v>7.6999999999999999E-2</v>
      </c>
      <c r="H164" s="637">
        <f>'New Ints'!X25</f>
        <v>4.0000000000000001E-3</v>
      </c>
      <c r="I164" s="637">
        <f>'New Ints'!Y25</f>
        <v>2.9000000000000001E-2</v>
      </c>
      <c r="J164" s="637">
        <f>'New Ints'!Z25</f>
        <v>-2E-3</v>
      </c>
    </row>
    <row r="193" spans="2:14">
      <c r="B193" s="542" t="s">
        <v>132</v>
      </c>
      <c r="C193" s="636" t="str">
        <f>'New Ints'!AV2</f>
        <v>Q1 21</v>
      </c>
      <c r="D193" s="636" t="str">
        <f>'New Ints'!AW2</f>
        <v>Q2 21</v>
      </c>
      <c r="E193" s="636" t="str">
        <f>'New Ints'!AX2</f>
        <v>Q3 21</v>
      </c>
      <c r="F193" s="636" t="str">
        <f>'New Ints'!AY2</f>
        <v>Q4 21</v>
      </c>
      <c r="G193" s="636" t="str">
        <f>'New Ints'!AZ2</f>
        <v>Q1 22</v>
      </c>
      <c r="H193" s="636" t="str">
        <f>'New Ints'!BA2</f>
        <v>Q2 22</v>
      </c>
      <c r="I193" s="636" t="str">
        <f>'New Ints'!BB2</f>
        <v>Q3 22</v>
      </c>
      <c r="J193" s="636" t="str">
        <f>'New Ints'!BC2</f>
        <v>Q4 22</v>
      </c>
      <c r="K193" s="636" t="str">
        <f>'New Ints'!BD2</f>
        <v>Q1 23</v>
      </c>
      <c r="L193" s="636" t="str">
        <f>'New Ints'!BE2</f>
        <v>Q2 23</v>
      </c>
      <c r="M193" s="636" t="str">
        <f>'New Ints'!BF2</f>
        <v>Q3 23</v>
      </c>
      <c r="N193" s="636" t="str">
        <f>'New Ints'!BG2</f>
        <v>Q4 23</v>
      </c>
    </row>
    <row r="194" spans="2:14">
      <c r="B194" s="542" t="s">
        <v>3326</v>
      </c>
      <c r="C194" s="638">
        <f>'New Ints'!AV4</f>
        <v>-1.99388152043245E-3</v>
      </c>
      <c r="D194" s="638">
        <f>'New Ints'!AW4</f>
        <v>6.1982909302777278E-2</v>
      </c>
      <c r="E194" s="638">
        <f>'New Ints'!AX4</f>
        <v>0.11973470891672799</v>
      </c>
      <c r="F194" s="638">
        <f>'New Ints'!AY4</f>
        <v>-9.640277350326798E-3</v>
      </c>
      <c r="G194" s="638">
        <f>'New Ints'!AZ4</f>
        <v>0.10746359282727291</v>
      </c>
      <c r="H194" s="638">
        <f>'New Ints'!BA4</f>
        <v>2.1177180582098165E-2</v>
      </c>
      <c r="I194" s="638">
        <f>'New Ints'!BB4</f>
        <v>2.1419608462544204E-2</v>
      </c>
      <c r="J194" s="638">
        <f>'New Ints'!BC4</f>
        <v>7.7498194846858937E-2</v>
      </c>
      <c r="K194" s="638">
        <f>'New Ints'!BD4</f>
        <v>-6.7296298261438903E-3</v>
      </c>
      <c r="L194" s="638">
        <f>'New Ints'!BE4</f>
        <v>0.11031617403450955</v>
      </c>
      <c r="M194" s="638">
        <f>'New Ints'!BF4</f>
        <v>-3.3160942251850845E-3</v>
      </c>
      <c r="N194" s="638">
        <f>'New Ints'!BG4</f>
        <v>0.10190180510314883</v>
      </c>
    </row>
    <row r="213" spans="2:9">
      <c r="B213" s="542" t="s">
        <v>132</v>
      </c>
      <c r="C213" s="636" t="s">
        <v>2934</v>
      </c>
      <c r="D213" s="636" t="s">
        <v>2933</v>
      </c>
      <c r="E213" s="636" t="s">
        <v>2932</v>
      </c>
      <c r="F213" s="636" t="s">
        <v>3209</v>
      </c>
      <c r="G213" s="636" t="s">
        <v>3274</v>
      </c>
      <c r="H213" s="636" t="s">
        <v>3275</v>
      </c>
      <c r="I213" s="636" t="s">
        <v>3317</v>
      </c>
    </row>
    <row r="214" spans="2:9">
      <c r="B214" s="542" t="s">
        <v>3327</v>
      </c>
      <c r="C214" s="639">
        <v>0</v>
      </c>
      <c r="D214" s="639">
        <v>-0.02</v>
      </c>
      <c r="E214" s="639">
        <v>0.04</v>
      </c>
      <c r="F214" s="639">
        <v>-1E-3</v>
      </c>
      <c r="G214" s="639">
        <v>0.111</v>
      </c>
      <c r="H214" s="639">
        <v>1.0999999999999999E-2</v>
      </c>
      <c r="I214" s="639">
        <v>5.8999999999999997E-2</v>
      </c>
    </row>
    <row r="237" spans="2:10">
      <c r="B237" s="542" t="s">
        <v>3331</v>
      </c>
      <c r="C237" s="542" t="s">
        <v>2931</v>
      </c>
      <c r="D237" s="636" t="s">
        <v>2934</v>
      </c>
      <c r="E237" s="636" t="s">
        <v>2933</v>
      </c>
      <c r="F237" s="636" t="s">
        <v>2932</v>
      </c>
      <c r="G237" s="636" t="s">
        <v>3209</v>
      </c>
      <c r="H237" s="636" t="s">
        <v>3274</v>
      </c>
      <c r="I237" s="636" t="s">
        <v>3275</v>
      </c>
      <c r="J237" s="636" t="s">
        <v>3317</v>
      </c>
    </row>
    <row r="238" spans="2:10">
      <c r="B238" s="542" t="s">
        <v>3333</v>
      </c>
      <c r="C238" s="637">
        <f>Interims!BK252</f>
        <v>0.14000000000000001</v>
      </c>
      <c r="D238" s="637">
        <f>Interims!BL252</f>
        <v>0.09</v>
      </c>
      <c r="E238" s="637">
        <f>Interims!BM252</f>
        <v>8.6999999999999994E-2</v>
      </c>
      <c r="F238" s="637">
        <f>Interims!BN252</f>
        <v>0.08</v>
      </c>
      <c r="G238" s="637">
        <f>Interims!BO251</f>
        <v>8.9891272869807803E-2</v>
      </c>
      <c r="H238" s="637">
        <f>Interims!BP251</f>
        <v>1.3003110658276196E-3</v>
      </c>
      <c r="I238" s="637">
        <f>Interims!BQ251</f>
        <v>-4.2482659473636719E-2</v>
      </c>
      <c r="J238" s="637">
        <f>Interims!BR251</f>
        <v>5.4259619661090053E-3</v>
      </c>
    </row>
    <row r="239" spans="2:10">
      <c r="B239" s="542" t="s">
        <v>3319</v>
      </c>
      <c r="D239" s="639">
        <v>0.09</v>
      </c>
      <c r="E239" s="639">
        <v>0.05</v>
      </c>
      <c r="F239" s="639">
        <v>0.21</v>
      </c>
      <c r="G239" s="639">
        <v>3.5999999999999997E-2</v>
      </c>
      <c r="H239" s="639">
        <v>-1E-3</v>
      </c>
      <c r="I239" s="639">
        <v>1.2999999999999999E-2</v>
      </c>
      <c r="J239" s="639">
        <v>2.4E-2</v>
      </c>
    </row>
    <row r="240" spans="2:10">
      <c r="B240" s="542" t="s">
        <v>3328</v>
      </c>
      <c r="D240" s="639">
        <v>-0.11</v>
      </c>
      <c r="E240" s="639">
        <v>-0.09</v>
      </c>
      <c r="F240" s="639">
        <v>0.3</v>
      </c>
      <c r="G240" s="639">
        <v>0.156</v>
      </c>
      <c r="H240" s="639">
        <v>0.13800000000000001</v>
      </c>
      <c r="I240" s="639">
        <v>-7.0000000000000001E-3</v>
      </c>
      <c r="J240" s="639">
        <v>5.3999999999999999E-2</v>
      </c>
    </row>
    <row r="242" spans="2:10">
      <c r="B242" s="542" t="s">
        <v>3332</v>
      </c>
      <c r="D242" s="636" t="s">
        <v>2934</v>
      </c>
      <c r="E242" s="636" t="s">
        <v>2933</v>
      </c>
      <c r="F242" s="636" t="s">
        <v>2932</v>
      </c>
      <c r="G242" s="636" t="s">
        <v>3209</v>
      </c>
      <c r="H242" s="636" t="s">
        <v>3274</v>
      </c>
      <c r="I242" s="636" t="s">
        <v>3275</v>
      </c>
      <c r="J242" s="636" t="s">
        <v>3317</v>
      </c>
    </row>
    <row r="243" spans="2:10">
      <c r="B243" s="542" t="s">
        <v>3319</v>
      </c>
      <c r="D243" s="639"/>
      <c r="E243" s="639"/>
      <c r="F243" s="639"/>
      <c r="G243" s="639"/>
      <c r="H243" s="639"/>
      <c r="I243" s="639">
        <v>0.04</v>
      </c>
      <c r="J243" s="639">
        <v>1.4999999999999999E-2</v>
      </c>
    </row>
    <row r="244" spans="2:10">
      <c r="B244" s="542" t="s">
        <v>3328</v>
      </c>
      <c r="D244" s="639"/>
      <c r="E244" s="639"/>
      <c r="F244" s="639"/>
      <c r="G244" s="639"/>
      <c r="H244" s="639"/>
      <c r="I244" s="639">
        <v>-2.8000000000000001E-2</v>
      </c>
      <c r="J244" s="639">
        <v>3.5999999999999997E-2</v>
      </c>
    </row>
    <row r="278" spans="2:14">
      <c r="B278" s="542" t="s">
        <v>3329</v>
      </c>
      <c r="C278" s="636" t="str">
        <f>'New Ints'!O2</f>
        <v>Q1 21</v>
      </c>
      <c r="D278" s="636" t="str">
        <f>'New Ints'!P2</f>
        <v>Q2 21</v>
      </c>
      <c r="E278" s="636" t="str">
        <f>'New Ints'!Q2</f>
        <v>Q3 21</v>
      </c>
      <c r="F278" s="636" t="str">
        <f>'New Ints'!R2</f>
        <v>Q4 21</v>
      </c>
      <c r="G278" s="636" t="str">
        <f>'New Ints'!S2</f>
        <v>Q1 22</v>
      </c>
      <c r="H278" s="636" t="str">
        <f>'New Ints'!T2</f>
        <v>Q2 22</v>
      </c>
      <c r="I278" s="636" t="str">
        <f>'New Ints'!U2</f>
        <v>Q3 22</v>
      </c>
      <c r="J278" s="636" t="str">
        <f>'New Ints'!V2</f>
        <v>Q4 22</v>
      </c>
      <c r="K278" s="636" t="str">
        <f>'New Ints'!W2</f>
        <v>Q1 23</v>
      </c>
      <c r="L278" s="636" t="str">
        <f>'New Ints'!X2</f>
        <v>Q2 23</v>
      </c>
      <c r="M278" s="636" t="str">
        <f>'New Ints'!Y2</f>
        <v>Q3 23</v>
      </c>
      <c r="N278" s="636" t="str">
        <f>'New Ints'!Z2</f>
        <v>Q4 23</v>
      </c>
    </row>
    <row r="279" spans="2:14">
      <c r="B279" s="542" t="str">
        <f>'New Ints'!B67</f>
        <v>Chile</v>
      </c>
      <c r="C279" s="638">
        <f>'New Ints'!O67</f>
        <v>0.36679407451315044</v>
      </c>
      <c r="D279" s="638">
        <f>'New Ints'!P67</f>
        <v>0.38937232037346303</v>
      </c>
      <c r="E279" s="638">
        <f>'New Ints'!Q67</f>
        <v>0.39263109877786861</v>
      </c>
      <c r="F279" s="638">
        <f>'New Ints'!R67</f>
        <v>0.37719628412625472</v>
      </c>
      <c r="G279" s="638">
        <f>'New Ints'!S67</f>
        <v>0.37010821200581695</v>
      </c>
      <c r="H279" s="638">
        <f>'New Ints'!T67</f>
        <v>0.35615535297219919</v>
      </c>
      <c r="I279" s="638">
        <f>'New Ints'!U67</f>
        <v>0.33293486507783548</v>
      </c>
      <c r="J279" s="638">
        <f>'New Ints'!V67</f>
        <v>0.30058092683689547</v>
      </c>
      <c r="K279" s="638">
        <f>'New Ints'!W67</f>
        <v>0.30998881966187358</v>
      </c>
      <c r="L279" s="638">
        <f>'New Ints'!X67</f>
        <v>0.34718972636494561</v>
      </c>
      <c r="M279" s="638">
        <f>'New Ints'!Y67</f>
        <v>0.3316487963578294</v>
      </c>
      <c r="N279" s="638">
        <f>'New Ints'!Z67</f>
        <v>0.27547220350976792</v>
      </c>
    </row>
    <row r="280" spans="2:14">
      <c r="B280" s="542" t="s">
        <v>30</v>
      </c>
      <c r="C280" s="638">
        <f>'New Ints'!O68</f>
        <v>0.16462087627382119</v>
      </c>
      <c r="D280" s="638">
        <f>'New Ints'!P68</f>
        <v>0.17955973154362417</v>
      </c>
      <c r="E280" s="638">
        <f>'New Ints'!Q68</f>
        <v>0.1907273059806133</v>
      </c>
      <c r="F280" s="638">
        <f>'New Ints'!R68</f>
        <v>0.14423671164662205</v>
      </c>
      <c r="G280" s="638">
        <f>'New Ints'!S68</f>
        <v>0.18326351122791495</v>
      </c>
      <c r="H280" s="638">
        <f>'New Ints'!T68</f>
        <v>0.21352283643349926</v>
      </c>
      <c r="I280" s="638">
        <f>'New Ints'!U68</f>
        <v>0.18966114203970807</v>
      </c>
      <c r="J280" s="638">
        <f>'New Ints'!V68</f>
        <v>0.21239953555035468</v>
      </c>
      <c r="K280" s="638">
        <f>'New Ints'!W68</f>
        <v>0.22401525036698744</v>
      </c>
      <c r="L280" s="638">
        <f>'New Ints'!X68</f>
        <v>0.24238186557533817</v>
      </c>
      <c r="M280" s="638">
        <f>'New Ints'!Y68</f>
        <v>0.26931822054735161</v>
      </c>
      <c r="N280" s="638">
        <f>'New Ints'!Z68</f>
        <v>0.25331142407166329</v>
      </c>
    </row>
    <row r="281" spans="2:14">
      <c r="B281" s="542" t="str">
        <f>'New Ints'!B69</f>
        <v>Other</v>
      </c>
      <c r="C281" s="638">
        <f>'New Ints'!O69</f>
        <v>0.22938775510204082</v>
      </c>
      <c r="D281" s="638">
        <f>'New Ints'!P69</f>
        <v>0.46503646503646506</v>
      </c>
      <c r="E281" s="638">
        <f>'New Ints'!Q69</f>
        <v>0.2033535497681056</v>
      </c>
      <c r="F281" s="638">
        <f>'New Ints'!R69</f>
        <v>0.21451104100946372</v>
      </c>
      <c r="G281" s="638">
        <f>'New Ints'!S69</f>
        <v>0.11984700382490437</v>
      </c>
      <c r="H281" s="638">
        <f>'New Ints'!T69</f>
        <v>8.2109679352712017E-2</v>
      </c>
      <c r="I281" s="638">
        <f>'New Ints'!U69</f>
        <v>0.11188506747932085</v>
      </c>
      <c r="J281" s="638">
        <f>'New Ints'!V69</f>
        <v>0.10381917381137958</v>
      </c>
      <c r="K281" s="638">
        <f>'New Ints'!W69</f>
        <v>0.30799584631360333</v>
      </c>
      <c r="L281" s="638">
        <f>'New Ints'!X69</f>
        <v>0.18455346876197776</v>
      </c>
      <c r="M281" s="638">
        <f>'New Ints'!Y69</f>
        <v>0.12447281431665337</v>
      </c>
      <c r="N281" s="638">
        <f>'New Ints'!Z69</f>
        <v>0.27608278216343074</v>
      </c>
    </row>
    <row r="282" spans="2:14">
      <c r="B282" s="542" t="str">
        <f>'New Ints'!B70</f>
        <v>Group</v>
      </c>
      <c r="C282" s="638">
        <f>'New Ints'!O70</f>
        <v>0.31225352038385329</v>
      </c>
      <c r="D282" s="638">
        <f>'New Ints'!P70</f>
        <v>0.32433674996196626</v>
      </c>
      <c r="E282" s="638">
        <f>'New Ints'!Q70</f>
        <v>0.32717303070846687</v>
      </c>
      <c r="F282" s="638">
        <f>'New Ints'!R70</f>
        <v>0.29736445908718073</v>
      </c>
      <c r="G282" s="638">
        <f>'New Ints'!S70</f>
        <v>0.30200741298056283</v>
      </c>
      <c r="H282" s="638">
        <f>'New Ints'!T70</f>
        <v>0.30280957022569666</v>
      </c>
      <c r="I282" s="638">
        <f>'New Ints'!U70</f>
        <v>0.28111602147428238</v>
      </c>
      <c r="J282" s="638">
        <f>'New Ints'!V70</f>
        <v>0.2683619511800388</v>
      </c>
      <c r="K282" s="638">
        <f>'New Ints'!W70</f>
        <v>0.28247230727592287</v>
      </c>
      <c r="L282" s="638">
        <f>'New Ints'!X70</f>
        <v>0.31281496722641056</v>
      </c>
      <c r="M282" s="638">
        <f>'New Ints'!Y70</f>
        <v>0.30797100275655209</v>
      </c>
      <c r="N282" s="638">
        <f>'New Ints'!Z70</f>
        <v>0.26875753820507231</v>
      </c>
    </row>
    <row r="303" spans="2:14">
      <c r="B303" s="542" t="s">
        <v>137</v>
      </c>
      <c r="C303" s="636" t="str">
        <f>'New Ints'!O116</f>
        <v>Q1 21</v>
      </c>
      <c r="D303" s="636" t="str">
        <f>'New Ints'!P116</f>
        <v>Q2 21</v>
      </c>
      <c r="E303" s="636" t="str">
        <f>'New Ints'!Q116</f>
        <v>Q3 21</v>
      </c>
      <c r="F303" s="636" t="str">
        <f>'New Ints'!R116</f>
        <v>Q4 21</v>
      </c>
      <c r="G303" s="636" t="str">
        <f>'New Ints'!S116</f>
        <v>Q1 22</v>
      </c>
      <c r="H303" s="636" t="str">
        <f>'New Ints'!T116</f>
        <v>Q2 22</v>
      </c>
      <c r="I303" s="636" t="str">
        <f>'New Ints'!U116</f>
        <v>Q3 22</v>
      </c>
      <c r="J303" s="636" t="str">
        <f>'New Ints'!V116</f>
        <v>Q4 22</v>
      </c>
      <c r="K303" s="636" t="str">
        <f>'New Ints'!W116</f>
        <v>Q1 23</v>
      </c>
      <c r="L303" s="636" t="str">
        <f>'New Ints'!X116</f>
        <v>Q2 23</v>
      </c>
      <c r="M303" s="636" t="str">
        <f>'New Ints'!Y116</f>
        <v>Q3 23</v>
      </c>
      <c r="N303" s="636" t="str">
        <f>'New Ints'!Z116</f>
        <v>Q4 23</v>
      </c>
    </row>
    <row r="304" spans="2:14">
      <c r="B304" s="542" t="str">
        <f>'New Ints'!B117</f>
        <v xml:space="preserve">Chile </v>
      </c>
      <c r="C304" s="638">
        <f>'New Ints'!O117</f>
        <v>0.20340117630827248</v>
      </c>
      <c r="D304" s="638">
        <f>'New Ints'!P117</f>
        <v>0.18402381022140185</v>
      </c>
      <c r="E304" s="638">
        <f>'New Ints'!Q117</f>
        <v>0.2135926482048163</v>
      </c>
      <c r="F304" s="638">
        <f>'New Ints'!R117</f>
        <v>0.24953066658045864</v>
      </c>
      <c r="G304" s="638">
        <f>'New Ints'!S117</f>
        <v>0.21254120955314013</v>
      </c>
      <c r="H304" s="638">
        <f>'New Ints'!T117</f>
        <v>0.2434194417238002</v>
      </c>
      <c r="I304" s="638">
        <f>'New Ints'!U117</f>
        <v>0.23797581379009181</v>
      </c>
      <c r="J304" s="638">
        <f>'New Ints'!V117</f>
        <v>0.24986829919536221</v>
      </c>
      <c r="K304" s="638">
        <f>'New Ints'!W117</f>
        <v>0.19387821919768342</v>
      </c>
      <c r="L304" s="638">
        <f>'New Ints'!X117</f>
        <v>0.23367830775929302</v>
      </c>
      <c r="M304" s="638">
        <f>'New Ints'!Y117</f>
        <v>0.20696991638480841</v>
      </c>
      <c r="N304" s="638">
        <f>'New Ints'!Z117</f>
        <v>0.1620853914256758</v>
      </c>
    </row>
    <row r="305" spans="2:14">
      <c r="B305" s="542" t="str">
        <f>'New Ints'!B118</f>
        <v>Peru</v>
      </c>
      <c r="C305" s="638">
        <f>'New Ints'!O118</f>
        <v>0.12411192354194255</v>
      </c>
      <c r="D305" s="638">
        <f>'New Ints'!P118</f>
        <v>0.18249127516778524</v>
      </c>
      <c r="E305" s="638">
        <f>'New Ints'!Q118</f>
        <v>7.8090389969314555E-2</v>
      </c>
      <c r="F305" s="638">
        <f>'New Ints'!R118</f>
        <v>9.6058510993041815E-2</v>
      </c>
      <c r="G305" s="638">
        <f>'New Ints'!S118</f>
        <v>8.0559964611901846E-2</v>
      </c>
      <c r="H305" s="638">
        <f>'New Ints'!T118</f>
        <v>0.11802899310103922</v>
      </c>
      <c r="I305" s="638">
        <f>'New Ints'!U118</f>
        <v>0.14531986041129466</v>
      </c>
      <c r="J305" s="638">
        <f>'New Ints'!V118</f>
        <v>0.20329196828679766</v>
      </c>
      <c r="K305" s="638">
        <f>'New Ints'!W118</f>
        <v>0.16274363888435817</v>
      </c>
      <c r="L305" s="638">
        <f>'New Ints'!X118</f>
        <v>0.15684076852285056</v>
      </c>
      <c r="M305" s="638">
        <f>'New Ints'!Y118</f>
        <v>0.12388199952285663</v>
      </c>
      <c r="N305" s="638">
        <f>'New Ints'!Z118</f>
        <v>0.21025608346154195</v>
      </c>
    </row>
    <row r="306" spans="2:14">
      <c r="B306" s="542" t="str">
        <f>'New Ints'!B119</f>
        <v>Group</v>
      </c>
      <c r="C306" s="638">
        <f>'New Ints'!O119</f>
        <v>0.17787322925878976</v>
      </c>
      <c r="D306" s="638">
        <f>'New Ints'!P119</f>
        <v>0.18282947673922892</v>
      </c>
      <c r="E306" s="638">
        <f>'New Ints'!Q119</f>
        <v>0.16888373391342851</v>
      </c>
      <c r="F306" s="638">
        <f>'New Ints'!R119</f>
        <v>0.19659591758760753</v>
      </c>
      <c r="G306" s="638">
        <f>'New Ints'!S119</f>
        <v>0.16417797923196106</v>
      </c>
      <c r="H306" s="638">
        <f>'New Ints'!T119</f>
        <v>0.19648460981037019</v>
      </c>
      <c r="I306" s="638">
        <f>'New Ints'!U119</f>
        <v>0.20343519368344293</v>
      </c>
      <c r="J306" s="638">
        <f>'New Ints'!V119</f>
        <v>0.23139373115096964</v>
      </c>
      <c r="K306" s="638">
        <f>'New Ints'!W119</f>
        <v>0.18239698176209529</v>
      </c>
      <c r="L306" s="638">
        <f>'New Ints'!X119</f>
        <v>0.20751048609166245</v>
      </c>
      <c r="M306" s="638">
        <f>'New Ints'!Y119</f>
        <v>0.17639018006666257</v>
      </c>
      <c r="N306" s="638">
        <f>'New Ints'!Z119</f>
        <v>0.17564121317836945</v>
      </c>
    </row>
    <row r="326" spans="2:14">
      <c r="B326" s="542" t="s">
        <v>3330</v>
      </c>
      <c r="C326" s="636" t="str">
        <f>'New Ints'!O121</f>
        <v>Q1 21</v>
      </c>
      <c r="D326" s="636" t="str">
        <f>'New Ints'!P121</f>
        <v>Q2 21</v>
      </c>
      <c r="E326" s="636" t="str">
        <f>'New Ints'!Q121</f>
        <v>Q3 21</v>
      </c>
      <c r="F326" s="636" t="str">
        <f>'New Ints'!R121</f>
        <v>Q4 21</v>
      </c>
      <c r="G326" s="636" t="str">
        <f>'New Ints'!S121</f>
        <v>Q1 22</v>
      </c>
      <c r="H326" s="636" t="str">
        <f>'New Ints'!T121</f>
        <v>Q2 22</v>
      </c>
      <c r="I326" s="636" t="str">
        <f>'New Ints'!U121</f>
        <v>Q3 22</v>
      </c>
      <c r="J326" s="636" t="str">
        <f>'New Ints'!V121</f>
        <v>Q4 22</v>
      </c>
      <c r="K326" s="636" t="str">
        <f>'New Ints'!W121</f>
        <v>Q1 23</v>
      </c>
      <c r="L326" s="636" t="str">
        <f>'New Ints'!X121</f>
        <v>Q2 23</v>
      </c>
      <c r="M326" s="636" t="str">
        <f>'New Ints'!Y121</f>
        <v>Q3 23</v>
      </c>
      <c r="N326" s="636" t="str">
        <f>'New Ints'!Z121</f>
        <v>Q4 23</v>
      </c>
    </row>
    <row r="327" spans="2:14">
      <c r="B327" s="542" t="str">
        <f>'New Ints'!B131</f>
        <v>Net debt (IAS 17)</v>
      </c>
      <c r="C327" s="640">
        <f>'New Ints'!O138</f>
        <v>2.3592912864292024</v>
      </c>
      <c r="D327" s="640">
        <f>'New Ints'!P138</f>
        <v>2.0173684022600176</v>
      </c>
      <c r="E327" s="640">
        <f>'New Ints'!Q138</f>
        <v>1.711325187747176</v>
      </c>
      <c r="F327" s="640">
        <f>'New Ints'!R138</f>
        <v>1.9995400509482026</v>
      </c>
      <c r="G327" s="640">
        <f>'New Ints'!S138</f>
        <v>2.112220387107449</v>
      </c>
      <c r="H327" s="640">
        <f>'New Ints'!T138</f>
        <v>2.0989220598018381</v>
      </c>
      <c r="I327" s="640">
        <f>'New Ints'!U138</f>
        <v>2.3517138553243608</v>
      </c>
      <c r="J327" s="640">
        <f>'New Ints'!V138</f>
        <v>2.6043516656836259</v>
      </c>
      <c r="K327" s="640">
        <f>'New Ints'!W138</f>
        <v>2.8349534088623716</v>
      </c>
      <c r="L327" s="640">
        <f>'New Ints'!X138</f>
        <v>3.0586815665905931</v>
      </c>
      <c r="M327" s="640">
        <f>'New Ints'!Y138</f>
        <v>2.7405325102554787</v>
      </c>
      <c r="N327" s="640">
        <f>'New Ints'!Z138</f>
        <v>1.8883415435139572</v>
      </c>
    </row>
    <row r="328" spans="2:14">
      <c r="B328" s="542" t="str">
        <f>'New Ints'!B132</f>
        <v>Net debt (IFRS 16)</v>
      </c>
      <c r="C328" s="640">
        <f>'New Ints'!O139</f>
        <v>2.6916027554569757</v>
      </c>
      <c r="D328" s="640">
        <f>'New Ints'!P139</f>
        <v>2.3649835369091874</v>
      </c>
      <c r="E328" s="640">
        <f>'New Ints'!Q139</f>
        <v>2.1453859894418423</v>
      </c>
      <c r="F328" s="640">
        <f>'New Ints'!R139</f>
        <v>2.4508625426346944</v>
      </c>
      <c r="G328" s="640">
        <f>'New Ints'!S139</f>
        <v>2.5325104192762304</v>
      </c>
      <c r="H328" s="640">
        <f>'New Ints'!T139</f>
        <v>2.5534455210609091</v>
      </c>
      <c r="I328" s="640">
        <f>'New Ints'!U139</f>
        <v>2.7743643862045748</v>
      </c>
      <c r="J328" s="640">
        <f>'New Ints'!V139</f>
        <v>2.5530118647192248</v>
      </c>
      <c r="K328" s="640">
        <f>'New Ints'!W139</f>
        <v>3.0700001378226776</v>
      </c>
      <c r="L328" s="640">
        <f>'New Ints'!X139</f>
        <v>3.2447395403784856</v>
      </c>
      <c r="M328" s="640">
        <f>'New Ints'!Y139</f>
        <v>3.0093143763167136</v>
      </c>
      <c r="N328" s="640">
        <f>'New Ints'!Z139</f>
        <v>2.3164841161048191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2114"/>
  <sheetViews>
    <sheetView zoomScale="79" zoomScaleNormal="85" workbookViewId="0">
      <selection activeCell="B2" sqref="B2"/>
    </sheetView>
  </sheetViews>
  <sheetFormatPr defaultRowHeight="14.4"/>
  <cols>
    <col min="2" max="2" width="34.83984375" customWidth="1"/>
    <col min="3" max="3" width="18.26171875" customWidth="1"/>
    <col min="4" max="6" width="9.83984375" customWidth="1"/>
  </cols>
  <sheetData>
    <row r="1" spans="1:4">
      <c r="A1" t="s">
        <v>38</v>
      </c>
      <c r="B1" t="s">
        <v>38</v>
      </c>
    </row>
    <row r="2" spans="1:4">
      <c r="B2" t="s">
        <v>3348</v>
      </c>
    </row>
    <row r="3" spans="1:4">
      <c r="B3" t="s">
        <v>3347</v>
      </c>
    </row>
    <row r="4" spans="1:4">
      <c r="B4" t="s">
        <v>3349</v>
      </c>
    </row>
    <row r="6" spans="1:4">
      <c r="B6" s="594">
        <v>45292</v>
      </c>
    </row>
    <row r="8" spans="1:4">
      <c r="B8" s="17" t="s">
        <v>3293</v>
      </c>
    </row>
    <row r="9" spans="1:4">
      <c r="B9" t="s">
        <v>3282</v>
      </c>
    </row>
    <row r="10" spans="1:4">
      <c r="B10" t="s">
        <v>3276</v>
      </c>
    </row>
    <row r="11" spans="1:4">
      <c r="B11" t="s">
        <v>3277</v>
      </c>
    </row>
    <row r="12" spans="1:4">
      <c r="C12" t="s">
        <v>3278</v>
      </c>
    </row>
    <row r="13" spans="1:4">
      <c r="D13" t="s">
        <v>3284</v>
      </c>
    </row>
    <row r="14" spans="1:4">
      <c r="D14" t="s">
        <v>3285</v>
      </c>
    </row>
    <row r="15" spans="1:4">
      <c r="D15" t="s">
        <v>3286</v>
      </c>
    </row>
    <row r="16" spans="1:4">
      <c r="D16" t="s">
        <v>3287</v>
      </c>
    </row>
    <row r="17" spans="3:4">
      <c r="D17" t="s">
        <v>3288</v>
      </c>
    </row>
    <row r="18" spans="3:4">
      <c r="C18" t="s">
        <v>3279</v>
      </c>
    </row>
    <row r="19" spans="3:4">
      <c r="D19" t="s">
        <v>3289</v>
      </c>
    </row>
    <row r="20" spans="3:4">
      <c r="D20" t="s">
        <v>3299</v>
      </c>
    </row>
    <row r="21" spans="3:4">
      <c r="C21" t="s">
        <v>3280</v>
      </c>
    </row>
    <row r="22" spans="3:4">
      <c r="C22" t="s">
        <v>3281</v>
      </c>
    </row>
    <row r="23" spans="3:4">
      <c r="D23" t="s">
        <v>3283</v>
      </c>
    </row>
    <row r="24" spans="3:4">
      <c r="C24" t="s">
        <v>3290</v>
      </c>
    </row>
    <row r="25" spans="3:4">
      <c r="C25" t="s">
        <v>3291</v>
      </c>
    </row>
    <row r="26" spans="3:4">
      <c r="C26" t="s">
        <v>3292</v>
      </c>
    </row>
    <row r="27" spans="3:4">
      <c r="C27" t="s">
        <v>3294</v>
      </c>
    </row>
    <row r="28" spans="3:4">
      <c r="C28" t="s">
        <v>3295</v>
      </c>
    </row>
    <row r="29" spans="3:4">
      <c r="C29" t="s">
        <v>3296</v>
      </c>
    </row>
    <row r="30" spans="3:4">
      <c r="C30" t="s">
        <v>3300</v>
      </c>
    </row>
    <row r="31" spans="3:4">
      <c r="C31" t="s">
        <v>3301</v>
      </c>
    </row>
    <row r="32" spans="3:4">
      <c r="D32" t="s">
        <v>3302</v>
      </c>
    </row>
    <row r="33" spans="2:4">
      <c r="B33" t="s">
        <v>338</v>
      </c>
    </row>
    <row r="34" spans="2:4">
      <c r="C34" t="s">
        <v>3297</v>
      </c>
    </row>
    <row r="35" spans="2:4">
      <c r="C35" t="s">
        <v>3298</v>
      </c>
    </row>
    <row r="36" spans="2:4">
      <c r="B36" t="s">
        <v>2369</v>
      </c>
    </row>
    <row r="37" spans="2:4">
      <c r="C37" t="s">
        <v>3303</v>
      </c>
    </row>
    <row r="38" spans="2:4">
      <c r="C38" t="s">
        <v>3304</v>
      </c>
    </row>
    <row r="39" spans="2:4">
      <c r="C39" t="s">
        <v>3305</v>
      </c>
    </row>
    <row r="40" spans="2:4">
      <c r="B40" t="s">
        <v>3306</v>
      </c>
    </row>
    <row r="41" spans="2:4">
      <c r="B41" t="s">
        <v>137</v>
      </c>
    </row>
    <row r="42" spans="2:4">
      <c r="C42" t="s">
        <v>3307</v>
      </c>
    </row>
    <row r="43" spans="2:4">
      <c r="D43" t="s">
        <v>3308</v>
      </c>
    </row>
    <row r="44" spans="2:4">
      <c r="B44" t="s">
        <v>936</v>
      </c>
    </row>
    <row r="45" spans="2:4">
      <c r="C45" t="s">
        <v>3309</v>
      </c>
    </row>
    <row r="46" spans="2:4">
      <c r="C46" t="s">
        <v>3310</v>
      </c>
    </row>
    <row r="47" spans="2:4">
      <c r="B47" t="s">
        <v>3311</v>
      </c>
    </row>
    <row r="48" spans="2:4">
      <c r="C48" t="s">
        <v>3312</v>
      </c>
    </row>
    <row r="50" spans="2:4">
      <c r="B50" s="594" t="s">
        <v>3209</v>
      </c>
    </row>
    <row r="52" spans="2:4">
      <c r="B52" t="s">
        <v>3240</v>
      </c>
    </row>
    <row r="53" spans="2:4">
      <c r="B53" t="s">
        <v>3241</v>
      </c>
    </row>
    <row r="55" spans="2:4">
      <c r="B55" t="s">
        <v>3242</v>
      </c>
    </row>
    <row r="56" spans="2:4">
      <c r="C56" t="s">
        <v>3244</v>
      </c>
    </row>
    <row r="57" spans="2:4">
      <c r="C57" t="s">
        <v>3245</v>
      </c>
    </row>
    <row r="58" spans="2:4">
      <c r="C58" t="s">
        <v>3246</v>
      </c>
    </row>
    <row r="59" spans="2:4">
      <c r="C59" t="s">
        <v>3247</v>
      </c>
    </row>
    <row r="60" spans="2:4">
      <c r="B60" t="s">
        <v>3243</v>
      </c>
    </row>
    <row r="61" spans="2:4">
      <c r="C61" t="s">
        <v>3248</v>
      </c>
    </row>
    <row r="62" spans="2:4">
      <c r="B62" t="s">
        <v>3249</v>
      </c>
    </row>
    <row r="63" spans="2:4">
      <c r="C63" t="s">
        <v>3250</v>
      </c>
    </row>
    <row r="64" spans="2:4">
      <c r="D64" t="s">
        <v>3251</v>
      </c>
    </row>
    <row r="65" spans="2:4">
      <c r="B65" t="s">
        <v>3252</v>
      </c>
    </row>
    <row r="66" spans="2:4">
      <c r="C66" t="s">
        <v>3253</v>
      </c>
    </row>
    <row r="67" spans="2:4">
      <c r="C67" t="s">
        <v>3254</v>
      </c>
    </row>
    <row r="68" spans="2:4">
      <c r="D68" t="s">
        <v>3265</v>
      </c>
    </row>
    <row r="69" spans="2:4">
      <c r="B69" t="s">
        <v>3255</v>
      </c>
    </row>
    <row r="70" spans="2:4">
      <c r="C70" t="s">
        <v>3256</v>
      </c>
    </row>
    <row r="71" spans="2:4">
      <c r="C71" t="s">
        <v>3257</v>
      </c>
    </row>
    <row r="72" spans="2:4">
      <c r="B72" t="s">
        <v>3259</v>
      </c>
    </row>
    <row r="73" spans="2:4">
      <c r="C73" t="s">
        <v>3258</v>
      </c>
    </row>
    <row r="74" spans="2:4">
      <c r="C74" t="s">
        <v>3260</v>
      </c>
    </row>
    <row r="75" spans="2:4">
      <c r="D75" t="s">
        <v>3261</v>
      </c>
    </row>
    <row r="76" spans="2:4">
      <c r="B76" t="s">
        <v>1842</v>
      </c>
    </row>
    <row r="77" spans="2:4">
      <c r="C77" t="s">
        <v>3262</v>
      </c>
    </row>
    <row r="78" spans="2:4">
      <c r="C78" t="s">
        <v>3263</v>
      </c>
    </row>
    <row r="79" spans="2:4">
      <c r="C79" t="s">
        <v>3264</v>
      </c>
    </row>
    <row r="80" spans="2:4">
      <c r="B80" t="s">
        <v>2173</v>
      </c>
    </row>
    <row r="81" spans="2:5">
      <c r="C81" t="s">
        <v>3266</v>
      </c>
    </row>
    <row r="82" spans="2:5">
      <c r="B82" t="s">
        <v>1043</v>
      </c>
    </row>
    <row r="83" spans="2:5">
      <c r="C83" t="s">
        <v>3267</v>
      </c>
    </row>
    <row r="87" spans="2:5">
      <c r="B87" s="594">
        <v>45017</v>
      </c>
    </row>
    <row r="89" spans="2:5">
      <c r="B89" t="s">
        <v>3168</v>
      </c>
    </row>
    <row r="90" spans="2:5">
      <c r="C90" t="s">
        <v>3169</v>
      </c>
    </row>
    <row r="91" spans="2:5">
      <c r="C91" t="s">
        <v>3170</v>
      </c>
    </row>
    <row r="92" spans="2:5">
      <c r="C92" t="s">
        <v>3171</v>
      </c>
    </row>
    <row r="93" spans="2:5">
      <c r="E93" s="596" t="s">
        <v>3180</v>
      </c>
    </row>
    <row r="94" spans="2:5">
      <c r="E94" s="596" t="s">
        <v>3181</v>
      </c>
    </row>
    <row r="95" spans="2:5">
      <c r="E95" s="596" t="s">
        <v>3182</v>
      </c>
    </row>
    <row r="96" spans="2:5">
      <c r="E96" s="596" t="s">
        <v>3183</v>
      </c>
    </row>
    <row r="97" spans="2:7">
      <c r="E97" s="596" t="s">
        <v>3184</v>
      </c>
    </row>
    <row r="98" spans="2:7">
      <c r="E98" s="596" t="s">
        <v>3185</v>
      </c>
    </row>
    <row r="99" spans="2:7">
      <c r="F99" s="596" t="s">
        <v>3186</v>
      </c>
    </row>
    <row r="100" spans="2:7">
      <c r="E100" s="596" t="s">
        <v>3187</v>
      </c>
      <c r="F100" s="596"/>
    </row>
    <row r="101" spans="2:7">
      <c r="E101" s="596"/>
      <c r="F101" s="596"/>
    </row>
    <row r="102" spans="2:7">
      <c r="E102" s="596" t="s">
        <v>3188</v>
      </c>
      <c r="F102" s="596"/>
    </row>
    <row r="105" spans="2:7">
      <c r="B105" t="s">
        <v>3177</v>
      </c>
      <c r="F105" s="596"/>
    </row>
    <row r="106" spans="2:7">
      <c r="E106" s="596" t="s">
        <v>3189</v>
      </c>
      <c r="F106" s="596"/>
    </row>
    <row r="107" spans="2:7">
      <c r="C107" t="s">
        <v>3178</v>
      </c>
      <c r="E107" s="596"/>
      <c r="F107" s="596" t="s">
        <v>3190</v>
      </c>
    </row>
    <row r="108" spans="2:7">
      <c r="B108" t="s">
        <v>2944</v>
      </c>
    </row>
    <row r="109" spans="2:7">
      <c r="C109" t="s">
        <v>3172</v>
      </c>
    </row>
    <row r="110" spans="2:7">
      <c r="D110" t="s">
        <v>3173</v>
      </c>
      <c r="E110" t="s">
        <v>3174</v>
      </c>
      <c r="F110" t="s">
        <v>3217</v>
      </c>
    </row>
    <row r="111" spans="2:7">
      <c r="F111" s="596" t="s">
        <v>3218</v>
      </c>
      <c r="G111" s="596" t="s">
        <v>3221</v>
      </c>
    </row>
    <row r="112" spans="2:7">
      <c r="F112" s="596" t="s">
        <v>3219</v>
      </c>
      <c r="G112" s="596" t="s">
        <v>3220</v>
      </c>
    </row>
    <row r="113" spans="2:8">
      <c r="C113" t="s">
        <v>3175</v>
      </c>
    </row>
    <row r="114" spans="2:8">
      <c r="B114" t="s">
        <v>3155</v>
      </c>
    </row>
    <row r="115" spans="2:8">
      <c r="E115" s="596">
        <v>1.2</v>
      </c>
      <c r="F115" s="600" t="s">
        <v>3225</v>
      </c>
    </row>
    <row r="116" spans="2:8">
      <c r="E116" s="596">
        <f>E117-E115</f>
        <v>2.7</v>
      </c>
      <c r="F116" s="600"/>
    </row>
    <row r="117" spans="2:8">
      <c r="E117" s="596">
        <v>3.9</v>
      </c>
      <c r="F117" s="600"/>
    </row>
    <row r="119" spans="2:8">
      <c r="B119" s="401" t="s">
        <v>3156</v>
      </c>
      <c r="C119" t="s">
        <v>3162</v>
      </c>
    </row>
    <row r="120" spans="2:8">
      <c r="B120" s="401" t="s">
        <v>3157</v>
      </c>
      <c r="C120" t="s">
        <v>3167</v>
      </c>
    </row>
    <row r="121" spans="2:8">
      <c r="C121" t="s">
        <v>3165</v>
      </c>
    </row>
    <row r="122" spans="2:8">
      <c r="B122" s="401"/>
      <c r="C122" t="s">
        <v>3166</v>
      </c>
    </row>
    <row r="123" spans="2:8">
      <c r="B123" s="401"/>
      <c r="E123" s="596" t="s">
        <v>3222</v>
      </c>
    </row>
    <row r="124" spans="2:8">
      <c r="B124" s="401"/>
      <c r="E124" s="596" t="s">
        <v>3223</v>
      </c>
    </row>
    <row r="125" spans="2:8">
      <c r="B125" s="401"/>
      <c r="E125" s="596" t="s">
        <v>3224</v>
      </c>
      <c r="G125" s="596">
        <v>1</v>
      </c>
      <c r="H125" s="599">
        <v>36000</v>
      </c>
    </row>
    <row r="126" spans="2:8">
      <c r="B126" s="401"/>
      <c r="E126" s="596"/>
    </row>
    <row r="127" spans="2:8">
      <c r="B127" t="s">
        <v>3138</v>
      </c>
    </row>
    <row r="128" spans="2:8">
      <c r="E128" s="596" t="s">
        <v>3197</v>
      </c>
    </row>
    <row r="129" spans="2:8">
      <c r="E129" s="596" t="s">
        <v>3191</v>
      </c>
    </row>
    <row r="130" spans="2:8">
      <c r="E130" s="596" t="s">
        <v>3198</v>
      </c>
    </row>
    <row r="131" spans="2:8">
      <c r="E131" s="596"/>
    </row>
    <row r="132" spans="2:8">
      <c r="E132" s="596" t="s">
        <v>3195</v>
      </c>
    </row>
    <row r="133" spans="2:8">
      <c r="F133" s="596" t="s">
        <v>3194</v>
      </c>
    </row>
    <row r="134" spans="2:8">
      <c r="E134" s="596"/>
      <c r="F134" s="596" t="s">
        <v>3192</v>
      </c>
    </row>
    <row r="135" spans="2:8">
      <c r="E135" s="596"/>
      <c r="F135" s="596" t="s">
        <v>3193</v>
      </c>
    </row>
    <row r="136" spans="2:8">
      <c r="E136" s="596" t="s">
        <v>3196</v>
      </c>
      <c r="F136" s="596"/>
    </row>
    <row r="137" spans="2:8">
      <c r="B137" t="s">
        <v>137</v>
      </c>
      <c r="E137" s="596"/>
      <c r="F137" s="596"/>
    </row>
    <row r="138" spans="2:8">
      <c r="E138" s="596" t="s">
        <v>3199</v>
      </c>
      <c r="F138" s="597">
        <v>44835</v>
      </c>
      <c r="G138" s="596" t="s">
        <v>3200</v>
      </c>
      <c r="H138" s="596" t="s">
        <v>3202</v>
      </c>
    </row>
    <row r="139" spans="2:8">
      <c r="E139" s="596" t="s">
        <v>3201</v>
      </c>
      <c r="F139" s="598" t="s">
        <v>3203</v>
      </c>
      <c r="G139" s="596" t="s">
        <v>3204</v>
      </c>
    </row>
    <row r="140" spans="2:8">
      <c r="E140" s="596"/>
      <c r="F140" s="598"/>
      <c r="G140" s="596" t="s">
        <v>3205</v>
      </c>
    </row>
    <row r="141" spans="2:8">
      <c r="E141" s="596" t="s">
        <v>3206</v>
      </c>
      <c r="F141" s="598"/>
      <c r="G141" s="596" t="s">
        <v>3207</v>
      </c>
    </row>
    <row r="142" spans="2:8">
      <c r="E142" s="596" t="s">
        <v>3208</v>
      </c>
      <c r="F142" s="598"/>
      <c r="G142" s="596"/>
    </row>
    <row r="143" spans="2:8">
      <c r="E143" s="596" t="s">
        <v>3226</v>
      </c>
      <c r="F143" s="598"/>
      <c r="G143" s="596"/>
    </row>
    <row r="144" spans="2:8">
      <c r="E144" s="596" t="s">
        <v>3227</v>
      </c>
      <c r="F144" s="598"/>
      <c r="G144" s="596"/>
    </row>
    <row r="145" spans="2:9">
      <c r="E145" s="596"/>
      <c r="F145" s="598"/>
      <c r="G145" s="596"/>
    </row>
    <row r="146" spans="2:9">
      <c r="E146" s="596"/>
      <c r="F146" s="598"/>
      <c r="G146" s="596"/>
    </row>
    <row r="147" spans="2:9">
      <c r="B147" t="s">
        <v>3209</v>
      </c>
      <c r="E147" s="596"/>
      <c r="F147" s="598"/>
      <c r="G147" s="596"/>
    </row>
    <row r="148" spans="2:9">
      <c r="E148" s="596" t="s">
        <v>3216</v>
      </c>
      <c r="F148" s="598"/>
      <c r="G148" s="596"/>
    </row>
    <row r="149" spans="2:9">
      <c r="E149" s="596" t="s">
        <v>3210</v>
      </c>
      <c r="F149" s="598"/>
      <c r="G149" s="596"/>
    </row>
    <row r="150" spans="2:9">
      <c r="E150" s="596" t="s">
        <v>3211</v>
      </c>
      <c r="F150" s="598"/>
      <c r="G150" s="596"/>
    </row>
    <row r="152" spans="2:9">
      <c r="C152" t="s">
        <v>3161</v>
      </c>
      <c r="G152" t="s">
        <v>3159</v>
      </c>
      <c r="I152" t="s">
        <v>3158</v>
      </c>
    </row>
    <row r="153" spans="2:9">
      <c r="C153" t="s">
        <v>3163</v>
      </c>
      <c r="G153" s="419">
        <f>1/10.4</f>
        <v>9.6153846153846145E-2</v>
      </c>
      <c r="H153" t="s">
        <v>3160</v>
      </c>
    </row>
    <row r="154" spans="2:9">
      <c r="C154" s="419"/>
      <c r="D154" t="s">
        <v>3164</v>
      </c>
      <c r="G154" t="s">
        <v>3152</v>
      </c>
    </row>
    <row r="155" spans="2:9">
      <c r="H155" t="s">
        <v>3151</v>
      </c>
    </row>
    <row r="156" spans="2:9">
      <c r="H156" t="s">
        <v>3153</v>
      </c>
    </row>
    <row r="157" spans="2:9">
      <c r="B157" s="596" t="s">
        <v>3233</v>
      </c>
    </row>
    <row r="158" spans="2:9">
      <c r="E158" s="596" t="s">
        <v>3234</v>
      </c>
    </row>
    <row r="159" spans="2:9">
      <c r="E159" s="596" t="s">
        <v>3235</v>
      </c>
    </row>
    <row r="160" spans="2:9">
      <c r="E160" s="601" t="s">
        <v>3236</v>
      </c>
    </row>
    <row r="161" spans="2:5">
      <c r="B161" t="s">
        <v>3176</v>
      </c>
    </row>
    <row r="162" spans="2:5">
      <c r="C162" t="s">
        <v>3179</v>
      </c>
    </row>
    <row r="163" spans="2:5">
      <c r="B163" t="s">
        <v>30</v>
      </c>
    </row>
    <row r="164" spans="2:5">
      <c r="C164" s="596" t="s">
        <v>3228</v>
      </c>
    </row>
    <row r="165" spans="2:5">
      <c r="C165" s="596"/>
      <c r="E165" s="596" t="s">
        <v>3229</v>
      </c>
    </row>
    <row r="166" spans="2:5">
      <c r="C166" s="596" t="s">
        <v>3230</v>
      </c>
    </row>
    <row r="167" spans="2:5">
      <c r="E167" s="596" t="s">
        <v>3212</v>
      </c>
    </row>
    <row r="168" spans="2:5">
      <c r="E168" s="596" t="s">
        <v>3213</v>
      </c>
    </row>
    <row r="169" spans="2:5">
      <c r="E169" s="596" t="s">
        <v>3214</v>
      </c>
    </row>
    <row r="170" spans="2:5">
      <c r="E170" s="596" t="s">
        <v>3215</v>
      </c>
    </row>
    <row r="171" spans="2:5">
      <c r="C171" s="596" t="s">
        <v>3231</v>
      </c>
      <c r="E171" s="596"/>
    </row>
    <row r="172" spans="2:5">
      <c r="E172" s="596" t="s">
        <v>3232</v>
      </c>
    </row>
    <row r="173" spans="2:5">
      <c r="C173" s="596" t="s">
        <v>1439</v>
      </c>
      <c r="E173" s="596"/>
    </row>
    <row r="174" spans="2:5">
      <c r="E174" s="596" t="s">
        <v>3238</v>
      </c>
    </row>
    <row r="175" spans="2:5">
      <c r="E175" s="596" t="s">
        <v>3237</v>
      </c>
    </row>
    <row r="176" spans="2:5">
      <c r="E176" s="596" t="s">
        <v>3239</v>
      </c>
    </row>
    <row r="177" spans="2:5">
      <c r="E177" s="596"/>
    </row>
    <row r="178" spans="2:5">
      <c r="B178" s="408" t="s">
        <v>2932</v>
      </c>
    </row>
    <row r="180" spans="2:5">
      <c r="B180" s="17" t="s">
        <v>3084</v>
      </c>
    </row>
    <row r="181" spans="2:5">
      <c r="B181" t="s">
        <v>3081</v>
      </c>
    </row>
    <row r="182" spans="2:5">
      <c r="B182" t="s">
        <v>3082</v>
      </c>
    </row>
    <row r="183" spans="2:5">
      <c r="C183" t="s">
        <v>3083</v>
      </c>
    </row>
    <row r="184" spans="2:5">
      <c r="B184" t="s">
        <v>3085</v>
      </c>
    </row>
    <row r="185" spans="2:5">
      <c r="B185" s="17" t="s">
        <v>1439</v>
      </c>
    </row>
    <row r="186" spans="2:5">
      <c r="B186" t="s">
        <v>3086</v>
      </c>
    </row>
    <row r="187" spans="2:5">
      <c r="B187" t="s">
        <v>3087</v>
      </c>
    </row>
    <row r="188" spans="2:5">
      <c r="C188" t="s">
        <v>3088</v>
      </c>
    </row>
    <row r="189" spans="2:5">
      <c r="C189" t="s">
        <v>3089</v>
      </c>
    </row>
    <row r="190" spans="2:5">
      <c r="B190" t="s">
        <v>3090</v>
      </c>
    </row>
    <row r="191" spans="2:5">
      <c r="B191" t="s">
        <v>3091</v>
      </c>
    </row>
    <row r="192" spans="2:5">
      <c r="C192" t="s">
        <v>3092</v>
      </c>
    </row>
    <row r="193" spans="2:17">
      <c r="B193" t="s">
        <v>3093</v>
      </c>
    </row>
    <row r="194" spans="2:17">
      <c r="C194" t="s">
        <v>3094</v>
      </c>
    </row>
    <row r="195" spans="2:17">
      <c r="B195" s="17" t="s">
        <v>3095</v>
      </c>
    </row>
    <row r="196" spans="2:17">
      <c r="B196" s="148" t="s">
        <v>413</v>
      </c>
      <c r="C196" t="s">
        <v>3096</v>
      </c>
      <c r="P196" s="57"/>
      <c r="Q196" s="57"/>
    </row>
    <row r="197" spans="2:17">
      <c r="B197" s="148"/>
      <c r="C197" t="s">
        <v>3097</v>
      </c>
    </row>
    <row r="198" spans="2:17">
      <c r="B198" s="148"/>
      <c r="C198">
        <v>2021</v>
      </c>
      <c r="D198">
        <v>14</v>
      </c>
    </row>
    <row r="199" spans="2:17">
      <c r="B199" s="148"/>
      <c r="C199">
        <v>2022</v>
      </c>
      <c r="D199" s="15">
        <v>4.8</v>
      </c>
    </row>
    <row r="200" spans="2:17">
      <c r="C200">
        <v>2023</v>
      </c>
      <c r="D200" s="592" t="s">
        <v>3098</v>
      </c>
    </row>
    <row r="201" spans="2:17">
      <c r="B201" t="s">
        <v>4</v>
      </c>
      <c r="D201" s="592"/>
    </row>
    <row r="202" spans="2:17">
      <c r="C202" t="s">
        <v>3099</v>
      </c>
    </row>
    <row r="203" spans="2:17">
      <c r="D203" s="592">
        <v>16.899999999999999</v>
      </c>
    </row>
    <row r="204" spans="2:17">
      <c r="B204" t="s">
        <v>30</v>
      </c>
      <c r="D204" s="592"/>
    </row>
    <row r="205" spans="2:17">
      <c r="D205" s="592" t="s">
        <v>3100</v>
      </c>
    </row>
    <row r="206" spans="2:17">
      <c r="D206" t="s">
        <v>3101</v>
      </c>
    </row>
    <row r="208" spans="2:17">
      <c r="B208" t="s">
        <v>3104</v>
      </c>
    </row>
    <row r="209" spans="2:3">
      <c r="C209" t="s">
        <v>3102</v>
      </c>
    </row>
    <row r="210" spans="2:3">
      <c r="C210" t="s">
        <v>3103</v>
      </c>
    </row>
    <row r="211" spans="2:3">
      <c r="B211" t="s">
        <v>3105</v>
      </c>
    </row>
    <row r="212" spans="2:3">
      <c r="C212" t="s">
        <v>3106</v>
      </c>
    </row>
    <row r="213" spans="2:3">
      <c r="C213" t="s">
        <v>3107</v>
      </c>
    </row>
    <row r="214" spans="2:3">
      <c r="C214" t="s">
        <v>3108</v>
      </c>
    </row>
    <row r="215" spans="2:3">
      <c r="C215" t="s">
        <v>3123</v>
      </c>
    </row>
    <row r="216" spans="2:3">
      <c r="B216" t="s">
        <v>137</v>
      </c>
    </row>
    <row r="217" spans="2:3">
      <c r="C217" t="s">
        <v>3109</v>
      </c>
    </row>
    <row r="218" spans="2:3">
      <c r="C218" t="s">
        <v>3110</v>
      </c>
    </row>
    <row r="219" spans="2:3">
      <c r="C219" t="s">
        <v>3111</v>
      </c>
    </row>
    <row r="220" spans="2:3">
      <c r="C220" t="s">
        <v>3112</v>
      </c>
    </row>
    <row r="221" spans="2:3">
      <c r="B221" t="s">
        <v>3113</v>
      </c>
    </row>
    <row r="222" spans="2:3">
      <c r="C222" t="s">
        <v>3114</v>
      </c>
    </row>
    <row r="223" spans="2:3">
      <c r="C223" t="s">
        <v>3115</v>
      </c>
    </row>
    <row r="224" spans="2:3">
      <c r="C224">
        <v>1.2</v>
      </c>
    </row>
    <row r="225" spans="2:3">
      <c r="C225" s="108">
        <v>2.7</v>
      </c>
    </row>
    <row r="226" spans="2:3">
      <c r="C226">
        <f>C224+C225</f>
        <v>3.9000000000000004</v>
      </c>
    </row>
    <row r="227" spans="2:3">
      <c r="C227" s="178" t="s">
        <v>3117</v>
      </c>
    </row>
    <row r="228" spans="2:3">
      <c r="C228" t="s">
        <v>3116</v>
      </c>
    </row>
    <row r="229" spans="2:3">
      <c r="B229" t="s">
        <v>3118</v>
      </c>
    </row>
    <row r="230" spans="2:3">
      <c r="C230" t="s">
        <v>3119</v>
      </c>
    </row>
    <row r="231" spans="2:3">
      <c r="C231" t="s">
        <v>3122</v>
      </c>
    </row>
    <row r="232" spans="2:3">
      <c r="B232" t="s">
        <v>3120</v>
      </c>
    </row>
    <row r="233" spans="2:3">
      <c r="C233" t="s">
        <v>3121</v>
      </c>
    </row>
    <row r="234" spans="2:3">
      <c r="B234" s="17" t="s">
        <v>30</v>
      </c>
    </row>
    <row r="235" spans="2:3">
      <c r="C235" t="s">
        <v>3124</v>
      </c>
    </row>
    <row r="236" spans="2:3">
      <c r="C236" t="s">
        <v>3125</v>
      </c>
    </row>
    <row r="237" spans="2:3">
      <c r="C237" t="s">
        <v>3126</v>
      </c>
    </row>
    <row r="238" spans="2:3">
      <c r="C238" t="s">
        <v>3127</v>
      </c>
    </row>
    <row r="239" spans="2:3">
      <c r="C239" t="s">
        <v>3128</v>
      </c>
    </row>
    <row r="240" spans="2:3">
      <c r="C240" t="s">
        <v>3129</v>
      </c>
    </row>
    <row r="241" spans="2:3">
      <c r="B241" t="s">
        <v>2369</v>
      </c>
    </row>
    <row r="242" spans="2:3">
      <c r="C242" t="s">
        <v>3130</v>
      </c>
    </row>
    <row r="243" spans="2:3">
      <c r="C243" t="s">
        <v>3131</v>
      </c>
    </row>
    <row r="244" spans="2:3">
      <c r="C244" t="s">
        <v>3132</v>
      </c>
    </row>
    <row r="245" spans="2:3">
      <c r="C245" t="s">
        <v>3133</v>
      </c>
    </row>
    <row r="246" spans="2:3">
      <c r="B246" t="s">
        <v>3134</v>
      </c>
    </row>
    <row r="248" spans="2:3">
      <c r="B248" t="s">
        <v>3135</v>
      </c>
    </row>
    <row r="249" spans="2:3">
      <c r="C249" t="s">
        <v>3136</v>
      </c>
    </row>
    <row r="250" spans="2:3">
      <c r="C250" t="s">
        <v>3137</v>
      </c>
    </row>
    <row r="251" spans="2:3">
      <c r="B251" t="s">
        <v>3138</v>
      </c>
    </row>
    <row r="252" spans="2:3">
      <c r="C252" t="s">
        <v>3139</v>
      </c>
    </row>
    <row r="253" spans="2:3">
      <c r="B253" t="s">
        <v>30</v>
      </c>
    </row>
    <row r="254" spans="2:3">
      <c r="C254" t="s">
        <v>3140</v>
      </c>
    </row>
    <row r="255" spans="2:3">
      <c r="C255" t="s">
        <v>3141</v>
      </c>
    </row>
    <row r="256" spans="2:3">
      <c r="B256" t="s">
        <v>3142</v>
      </c>
    </row>
    <row r="257" spans="2:3">
      <c r="C257" t="s">
        <v>3143</v>
      </c>
    </row>
    <row r="258" spans="2:3">
      <c r="C258" t="s">
        <v>3144</v>
      </c>
    </row>
    <row r="262" spans="2:3">
      <c r="B262" s="408" t="s">
        <v>2934</v>
      </c>
    </row>
    <row r="264" spans="2:3">
      <c r="B264" t="s">
        <v>3044</v>
      </c>
    </row>
    <row r="265" spans="2:3">
      <c r="C265" t="s">
        <v>3045</v>
      </c>
    </row>
    <row r="266" spans="2:3">
      <c r="B266" t="s">
        <v>3046</v>
      </c>
    </row>
    <row r="267" spans="2:3">
      <c r="C267" t="s">
        <v>3047</v>
      </c>
    </row>
    <row r="268" spans="2:3">
      <c r="C268" t="s">
        <v>3048</v>
      </c>
    </row>
    <row r="269" spans="2:3">
      <c r="B269" t="s">
        <v>3049</v>
      </c>
    </row>
    <row r="270" spans="2:3">
      <c r="C270" t="s">
        <v>3050</v>
      </c>
    </row>
    <row r="271" spans="2:3">
      <c r="B271" t="s">
        <v>3051</v>
      </c>
    </row>
    <row r="272" spans="2:3">
      <c r="C272" t="s">
        <v>3052</v>
      </c>
    </row>
    <row r="273" spans="2:3">
      <c r="B273" t="s">
        <v>3054</v>
      </c>
    </row>
    <row r="274" spans="2:3">
      <c r="C274" t="s">
        <v>3053</v>
      </c>
    </row>
    <row r="275" spans="2:3">
      <c r="B275" t="s">
        <v>3055</v>
      </c>
    </row>
    <row r="279" spans="2:3">
      <c r="B279" s="408" t="s">
        <v>2929</v>
      </c>
    </row>
    <row r="281" spans="2:3">
      <c r="B281" t="s">
        <v>2937</v>
      </c>
    </row>
    <row r="282" spans="2:3">
      <c r="B282" t="s">
        <v>2938</v>
      </c>
    </row>
    <row r="283" spans="2:3">
      <c r="C283" t="s">
        <v>2939</v>
      </c>
    </row>
    <row r="284" spans="2:3">
      <c r="C284" t="s">
        <v>2940</v>
      </c>
    </row>
    <row r="285" spans="2:3">
      <c r="B285" t="s">
        <v>2941</v>
      </c>
    </row>
    <row r="286" spans="2:3">
      <c r="B286" t="s">
        <v>2942</v>
      </c>
    </row>
    <row r="287" spans="2:3">
      <c r="C287" t="s">
        <v>2943</v>
      </c>
    </row>
    <row r="288" spans="2:3">
      <c r="B288" t="s">
        <v>2944</v>
      </c>
    </row>
    <row r="289" spans="2:7">
      <c r="C289" t="s">
        <v>2523</v>
      </c>
      <c r="D289">
        <v>4</v>
      </c>
      <c r="E289" t="s">
        <v>2945</v>
      </c>
      <c r="G289" t="s">
        <v>2946</v>
      </c>
    </row>
    <row r="290" spans="2:7">
      <c r="C290" t="s">
        <v>30</v>
      </c>
      <c r="D290">
        <v>1</v>
      </c>
      <c r="G290" s="148">
        <v>800</v>
      </c>
    </row>
    <row r="291" spans="2:7">
      <c r="B291" t="s">
        <v>2947</v>
      </c>
    </row>
    <row r="292" spans="2:7">
      <c r="B292" t="s">
        <v>2948</v>
      </c>
    </row>
    <row r="293" spans="2:7">
      <c r="C293" t="s">
        <v>2949</v>
      </c>
      <c r="D293" t="s">
        <v>2950</v>
      </c>
    </row>
    <row r="294" spans="2:7">
      <c r="B294" t="s">
        <v>2951</v>
      </c>
      <c r="C294" s="15" t="s">
        <v>2952</v>
      </c>
    </row>
    <row r="295" spans="2:7">
      <c r="C295" s="15">
        <f>736/32</f>
        <v>23</v>
      </c>
    </row>
    <row r="296" spans="2:7">
      <c r="B296" t="s">
        <v>2953</v>
      </c>
      <c r="C296" s="15"/>
    </row>
    <row r="297" spans="2:7">
      <c r="B297" t="s">
        <v>2954</v>
      </c>
      <c r="C297" s="15"/>
    </row>
    <row r="298" spans="2:7">
      <c r="B298" s="17" t="s">
        <v>2957</v>
      </c>
      <c r="C298" s="15"/>
    </row>
    <row r="299" spans="2:7">
      <c r="B299" t="s">
        <v>2958</v>
      </c>
      <c r="C299" s="15">
        <f>'New Ints'!R132/800</f>
        <v>2364.0774999999999</v>
      </c>
    </row>
    <row r="300" spans="2:7">
      <c r="B300" t="s">
        <v>2959</v>
      </c>
      <c r="C300" s="15">
        <f>C299-736</f>
        <v>1628.0774999999999</v>
      </c>
    </row>
    <row r="301" spans="2:7">
      <c r="C301" s="15"/>
    </row>
    <row r="302" spans="2:7">
      <c r="B302" t="s">
        <v>2960</v>
      </c>
      <c r="C302" s="15">
        <v>772</v>
      </c>
      <c r="D302" t="s">
        <v>2956</v>
      </c>
    </row>
    <row r="303" spans="2:7">
      <c r="B303" t="s">
        <v>2961</v>
      </c>
      <c r="C303" s="15">
        <f>C302*1000/800</f>
        <v>965</v>
      </c>
      <c r="D303" t="s">
        <v>2955</v>
      </c>
      <c r="F303" s="164">
        <f>C299/C303</f>
        <v>2.4498212435233158</v>
      </c>
    </row>
    <row r="304" spans="2:7">
      <c r="B304" t="s">
        <v>2962</v>
      </c>
      <c r="C304" s="15">
        <v>16</v>
      </c>
      <c r="F304" s="164"/>
    </row>
    <row r="305" spans="2:6">
      <c r="B305" t="s">
        <v>2963</v>
      </c>
      <c r="C305" s="15">
        <v>16</v>
      </c>
      <c r="F305" s="164"/>
    </row>
    <row r="306" spans="2:6">
      <c r="B306" t="s">
        <v>2964</v>
      </c>
      <c r="C306" s="15">
        <f>C304+C305</f>
        <v>32</v>
      </c>
    </row>
    <row r="307" spans="2:6">
      <c r="C307" s="15">
        <f>C303-C306</f>
        <v>933</v>
      </c>
      <c r="F307" s="164">
        <f>C300/C307</f>
        <v>1.7449919614147908</v>
      </c>
    </row>
    <row r="308" spans="2:6">
      <c r="C308" s="57">
        <f>32/C303</f>
        <v>3.316062176165803E-2</v>
      </c>
    </row>
    <row r="309" spans="2:6">
      <c r="C309" s="57"/>
    </row>
    <row r="310" spans="2:6">
      <c r="B310" t="s">
        <v>2615</v>
      </c>
      <c r="C310" s="248"/>
      <c r="D310" s="178" t="s">
        <v>2488</v>
      </c>
    </row>
    <row r="311" spans="2:6">
      <c r="C311" s="15">
        <v>2021</v>
      </c>
      <c r="D311">
        <v>117</v>
      </c>
    </row>
    <row r="312" spans="2:6">
      <c r="B312" t="s">
        <v>2965</v>
      </c>
      <c r="C312" s="15"/>
    </row>
    <row r="313" spans="2:6">
      <c r="B313" t="s">
        <v>2966</v>
      </c>
      <c r="C313" s="523" t="s">
        <v>2907</v>
      </c>
    </row>
    <row r="314" spans="2:6">
      <c r="B314" t="s">
        <v>2967</v>
      </c>
      <c r="C314" s="523" t="s">
        <v>2928</v>
      </c>
    </row>
    <row r="315" spans="2:6">
      <c r="C315" s="15"/>
    </row>
    <row r="316" spans="2:6">
      <c r="B316" s="17" t="s">
        <v>2970</v>
      </c>
      <c r="C316" s="15"/>
    </row>
    <row r="317" spans="2:6">
      <c r="B317" t="s">
        <v>2968</v>
      </c>
      <c r="C317" s="15"/>
    </row>
    <row r="318" spans="2:6">
      <c r="B318" t="s">
        <v>2969</v>
      </c>
      <c r="C318" s="15"/>
    </row>
    <row r="319" spans="2:6">
      <c r="B319" t="s">
        <v>2971</v>
      </c>
      <c r="C319" s="15">
        <v>2021</v>
      </c>
      <c r="D319" s="178" t="s">
        <v>2974</v>
      </c>
    </row>
    <row r="320" spans="2:6">
      <c r="B320" t="s">
        <v>1435</v>
      </c>
      <c r="C320" s="523" t="s">
        <v>2972</v>
      </c>
      <c r="D320" s="178" t="s">
        <v>2973</v>
      </c>
      <c r="E320" s="178">
        <f>768+450</f>
        <v>1218</v>
      </c>
    </row>
    <row r="321" spans="2:5">
      <c r="B321" t="s">
        <v>2975</v>
      </c>
      <c r="C321" s="523" t="s">
        <v>2976</v>
      </c>
      <c r="D321" s="178"/>
      <c r="E321" s="178"/>
    </row>
    <row r="322" spans="2:5">
      <c r="B322" t="s">
        <v>2977</v>
      </c>
      <c r="C322" s="523" t="s">
        <v>2978</v>
      </c>
      <c r="D322" s="178"/>
      <c r="E322" s="178"/>
    </row>
    <row r="323" spans="2:5">
      <c r="B323" t="s">
        <v>2979</v>
      </c>
      <c r="C323" s="524" t="s">
        <v>2982</v>
      </c>
      <c r="D323" s="178"/>
      <c r="E323" s="178"/>
    </row>
    <row r="324" spans="2:5">
      <c r="B324" t="s">
        <v>2980</v>
      </c>
      <c r="C324" s="15" t="s">
        <v>2981</v>
      </c>
    </row>
    <row r="325" spans="2:5">
      <c r="B325" t="s">
        <v>2983</v>
      </c>
      <c r="C325" s="15" t="s">
        <v>2984</v>
      </c>
    </row>
    <row r="326" spans="2:5">
      <c r="C326" s="15" t="s">
        <v>2985</v>
      </c>
    </row>
    <row r="327" spans="2:5">
      <c r="C327" s="15" t="s">
        <v>2986</v>
      </c>
    </row>
    <row r="328" spans="2:5">
      <c r="C328" s="15" t="s">
        <v>2987</v>
      </c>
    </row>
    <row r="329" spans="2:5">
      <c r="B329" t="s">
        <v>133</v>
      </c>
      <c r="C329" s="473" t="s">
        <v>1514</v>
      </c>
      <c r="D329" s="178"/>
    </row>
    <row r="330" spans="2:5">
      <c r="C330" s="15" t="s">
        <v>2988</v>
      </c>
      <c r="D330">
        <v>160</v>
      </c>
    </row>
    <row r="331" spans="2:5">
      <c r="C331" s="15" t="s">
        <v>130</v>
      </c>
      <c r="D331">
        <v>55</v>
      </c>
    </row>
    <row r="332" spans="2:5">
      <c r="C332" s="246" t="s">
        <v>370</v>
      </c>
      <c r="D332" s="108">
        <f>D333-D330-D331</f>
        <v>19</v>
      </c>
    </row>
    <row r="333" spans="2:5">
      <c r="C333" s="15"/>
      <c r="D333">
        <v>234</v>
      </c>
    </row>
    <row r="334" spans="2:5">
      <c r="B334" t="s">
        <v>2989</v>
      </c>
      <c r="C334" s="15"/>
    </row>
    <row r="335" spans="2:5">
      <c r="B335" t="s">
        <v>2990</v>
      </c>
      <c r="C335" s="15"/>
    </row>
    <row r="336" spans="2:5">
      <c r="B336" t="s">
        <v>2991</v>
      </c>
      <c r="C336" s="15"/>
    </row>
    <row r="337" spans="2:3">
      <c r="C337" s="15"/>
    </row>
    <row r="338" spans="2:3">
      <c r="C338" s="57"/>
    </row>
    <row r="339" spans="2:3">
      <c r="B339" s="408" t="s">
        <v>2907</v>
      </c>
    </row>
    <row r="341" spans="2:3">
      <c r="B341" t="s">
        <v>2915</v>
      </c>
    </row>
    <row r="342" spans="2:3">
      <c r="B342" t="s">
        <v>2916</v>
      </c>
    </row>
    <row r="345" spans="2:3">
      <c r="B345" s="408" t="s">
        <v>2819</v>
      </c>
    </row>
    <row r="347" spans="2:3">
      <c r="B347" t="s">
        <v>2820</v>
      </c>
    </row>
    <row r="348" spans="2:3">
      <c r="B348" s="17" t="s">
        <v>132</v>
      </c>
    </row>
    <row r="349" spans="2:3">
      <c r="B349" t="s">
        <v>2821</v>
      </c>
    </row>
    <row r="350" spans="2:3">
      <c r="B350" t="s">
        <v>2822</v>
      </c>
    </row>
    <row r="351" spans="2:3">
      <c r="B351" t="s">
        <v>2823</v>
      </c>
    </row>
    <row r="352" spans="2:3">
      <c r="B352" t="s">
        <v>2824</v>
      </c>
    </row>
    <row r="353" spans="2:2">
      <c r="B353" t="s">
        <v>2830</v>
      </c>
    </row>
    <row r="354" spans="2:2">
      <c r="B354" s="17" t="s">
        <v>30</v>
      </c>
    </row>
    <row r="355" spans="2:2">
      <c r="B355" t="s">
        <v>2825</v>
      </c>
    </row>
    <row r="356" spans="2:2">
      <c r="B356" t="s">
        <v>2826</v>
      </c>
    </row>
    <row r="357" spans="2:2">
      <c r="B357" t="s">
        <v>2827</v>
      </c>
    </row>
    <row r="358" spans="2:2">
      <c r="B358" t="s">
        <v>2828</v>
      </c>
    </row>
    <row r="359" spans="2:2">
      <c r="B359" t="s">
        <v>2829</v>
      </c>
    </row>
    <row r="360" spans="2:2">
      <c r="B360" t="s">
        <v>2831</v>
      </c>
    </row>
    <row r="361" spans="2:2">
      <c r="B361" s="352" t="s">
        <v>2862</v>
      </c>
    </row>
    <row r="362" spans="2:2">
      <c r="B362" s="17" t="s">
        <v>2832</v>
      </c>
    </row>
    <row r="363" spans="2:2">
      <c r="B363" t="s">
        <v>2833</v>
      </c>
    </row>
    <row r="364" spans="2:2">
      <c r="B364" t="s">
        <v>2834</v>
      </c>
    </row>
    <row r="365" spans="2:2">
      <c r="B365" t="s">
        <v>2835</v>
      </c>
    </row>
    <row r="366" spans="2:2">
      <c r="B366" t="s">
        <v>2836</v>
      </c>
    </row>
    <row r="367" spans="2:2">
      <c r="B367" t="s">
        <v>2837</v>
      </c>
    </row>
    <row r="368" spans="2:2">
      <c r="B368" t="s">
        <v>2838</v>
      </c>
    </row>
    <row r="369" spans="2:2">
      <c r="B369" t="s">
        <v>2839</v>
      </c>
    </row>
    <row r="370" spans="2:2">
      <c r="B370" s="17" t="s">
        <v>1439</v>
      </c>
    </row>
    <row r="371" spans="2:2">
      <c r="B371" t="s">
        <v>2840</v>
      </c>
    </row>
    <row r="372" spans="2:2">
      <c r="B372" t="s">
        <v>2841</v>
      </c>
    </row>
    <row r="373" spans="2:2">
      <c r="B373" t="s">
        <v>2842</v>
      </c>
    </row>
    <row r="374" spans="2:2">
      <c r="B374" t="s">
        <v>2847</v>
      </c>
    </row>
    <row r="375" spans="2:2">
      <c r="B375" t="s">
        <v>2845</v>
      </c>
    </row>
    <row r="376" spans="2:2">
      <c r="B376" t="s">
        <v>2843</v>
      </c>
    </row>
    <row r="377" spans="2:2">
      <c r="B377" t="s">
        <v>2844</v>
      </c>
    </row>
    <row r="378" spans="2:2">
      <c r="B378" t="s">
        <v>2846</v>
      </c>
    </row>
    <row r="379" spans="2:2">
      <c r="B379" s="17" t="s">
        <v>2692</v>
      </c>
    </row>
    <row r="380" spans="2:2">
      <c r="B380" t="s">
        <v>2848</v>
      </c>
    </row>
    <row r="381" spans="2:2">
      <c r="B381" t="s">
        <v>2849</v>
      </c>
    </row>
    <row r="382" spans="2:2">
      <c r="B382" t="s">
        <v>2850</v>
      </c>
    </row>
    <row r="383" spans="2:2">
      <c r="B383" t="s">
        <v>2851</v>
      </c>
    </row>
    <row r="384" spans="2:2">
      <c r="B384" t="s">
        <v>2861</v>
      </c>
    </row>
    <row r="385" spans="2:2">
      <c r="B385" s="17" t="s">
        <v>2852</v>
      </c>
    </row>
    <row r="386" spans="2:2">
      <c r="B386" t="s">
        <v>2853</v>
      </c>
    </row>
    <row r="387" spans="2:2">
      <c r="B387" t="s">
        <v>2854</v>
      </c>
    </row>
    <row r="388" spans="2:2">
      <c r="B388" s="17" t="s">
        <v>2206</v>
      </c>
    </row>
    <row r="389" spans="2:2">
      <c r="B389" t="s">
        <v>2855</v>
      </c>
    </row>
    <row r="390" spans="2:2">
      <c r="B390" t="s">
        <v>2856</v>
      </c>
    </row>
    <row r="391" spans="2:2">
      <c r="B391" t="s">
        <v>2857</v>
      </c>
    </row>
    <row r="392" spans="2:2">
      <c r="B392" t="s">
        <v>2858</v>
      </c>
    </row>
    <row r="393" spans="2:2">
      <c r="B393" t="s">
        <v>2860</v>
      </c>
    </row>
    <row r="394" spans="2:2">
      <c r="B394" t="s">
        <v>2859</v>
      </c>
    </row>
    <row r="395" spans="2:2">
      <c r="B395" s="352" t="s">
        <v>2863</v>
      </c>
    </row>
    <row r="396" spans="2:2">
      <c r="B396" s="17" t="s">
        <v>1439</v>
      </c>
    </row>
    <row r="397" spans="2:2">
      <c r="B397" t="s">
        <v>2864</v>
      </c>
    </row>
    <row r="398" spans="2:2">
      <c r="B398" t="s">
        <v>2865</v>
      </c>
    </row>
    <row r="399" spans="2:2">
      <c r="B399" t="s">
        <v>2866</v>
      </c>
    </row>
    <row r="400" spans="2:2">
      <c r="B400" t="s">
        <v>2867</v>
      </c>
    </row>
    <row r="401" spans="2:2">
      <c r="B401" t="s">
        <v>2868</v>
      </c>
    </row>
    <row r="402" spans="2:2">
      <c r="B402" s="17" t="s">
        <v>2869</v>
      </c>
    </row>
    <row r="403" spans="2:2">
      <c r="B403" t="s">
        <v>2870</v>
      </c>
    </row>
    <row r="404" spans="2:2">
      <c r="B404" t="s">
        <v>2872</v>
      </c>
    </row>
    <row r="405" spans="2:2">
      <c r="B405" t="s">
        <v>2871</v>
      </c>
    </row>
    <row r="406" spans="2:2">
      <c r="B406" t="s">
        <v>2873</v>
      </c>
    </row>
    <row r="407" spans="2:2">
      <c r="B407" t="s">
        <v>2874</v>
      </c>
    </row>
    <row r="408" spans="2:2">
      <c r="B408" t="s">
        <v>2875</v>
      </c>
    </row>
    <row r="409" spans="2:2">
      <c r="B409" s="249" t="s">
        <v>2877</v>
      </c>
    </row>
    <row r="410" spans="2:2">
      <c r="B410" t="s">
        <v>2878</v>
      </c>
    </row>
    <row r="411" spans="2:2">
      <c r="B411" t="s">
        <v>2879</v>
      </c>
    </row>
    <row r="412" spans="2:2">
      <c r="B412" t="s">
        <v>2880</v>
      </c>
    </row>
    <row r="413" spans="2:2">
      <c r="B413" s="249" t="s">
        <v>2876</v>
      </c>
    </row>
    <row r="414" spans="2:2">
      <c r="B414" t="s">
        <v>2881</v>
      </c>
    </row>
    <row r="415" spans="2:2">
      <c r="B415" t="s">
        <v>2882</v>
      </c>
    </row>
    <row r="416" spans="2:2">
      <c r="B416" s="249"/>
    </row>
    <row r="418" spans="2:10">
      <c r="B418" s="408" t="s">
        <v>2727</v>
      </c>
    </row>
    <row r="420" spans="2:10">
      <c r="B420" s="352" t="s">
        <v>2729</v>
      </c>
      <c r="E420" t="s">
        <v>2732</v>
      </c>
    </row>
    <row r="421" spans="2:10">
      <c r="C421">
        <v>700</v>
      </c>
      <c r="D421">
        <v>20</v>
      </c>
      <c r="E421" t="s">
        <v>2733</v>
      </c>
      <c r="F421" t="s">
        <v>2734</v>
      </c>
    </row>
    <row r="422" spans="2:10">
      <c r="C422" t="s">
        <v>2813</v>
      </c>
      <c r="D422">
        <v>30</v>
      </c>
      <c r="E422" t="s">
        <v>2736</v>
      </c>
      <c r="F422" t="s">
        <v>2737</v>
      </c>
      <c r="J422" t="s">
        <v>2731</v>
      </c>
    </row>
    <row r="423" spans="2:10">
      <c r="C423" s="178" t="s">
        <v>2814</v>
      </c>
      <c r="D423">
        <v>150</v>
      </c>
      <c r="E423" t="s">
        <v>2739</v>
      </c>
      <c r="F423" t="s">
        <v>2738</v>
      </c>
      <c r="J423" t="s">
        <v>2730</v>
      </c>
    </row>
    <row r="424" spans="2:10">
      <c r="C424">
        <v>24</v>
      </c>
      <c r="D424">
        <v>1600</v>
      </c>
      <c r="E424" t="s">
        <v>2735</v>
      </c>
    </row>
    <row r="425" spans="2:10">
      <c r="B425" t="s">
        <v>2742</v>
      </c>
    </row>
    <row r="426" spans="2:10">
      <c r="B426" t="s">
        <v>2740</v>
      </c>
    </row>
    <row r="427" spans="2:10">
      <c r="B427" t="s">
        <v>2741</v>
      </c>
    </row>
    <row r="429" spans="2:10">
      <c r="B429" s="17" t="s">
        <v>2752</v>
      </c>
    </row>
    <row r="430" spans="2:10">
      <c r="B430" t="s">
        <v>132</v>
      </c>
    </row>
    <row r="431" spans="2:10">
      <c r="C431" t="s">
        <v>2750</v>
      </c>
    </row>
    <row r="432" spans="2:10">
      <c r="D432" t="s">
        <v>2751</v>
      </c>
    </row>
    <row r="433" spans="2:9">
      <c r="D433" t="s">
        <v>2754</v>
      </c>
    </row>
    <row r="434" spans="2:9">
      <c r="C434" t="s">
        <v>918</v>
      </c>
    </row>
    <row r="435" spans="2:9">
      <c r="D435" t="s">
        <v>2758</v>
      </c>
    </row>
    <row r="436" spans="2:9">
      <c r="E436" t="s">
        <v>2775</v>
      </c>
    </row>
    <row r="437" spans="2:9">
      <c r="E437" t="s">
        <v>2757</v>
      </c>
    </row>
    <row r="438" spans="2:9">
      <c r="D438" t="s">
        <v>2755</v>
      </c>
    </row>
    <row r="440" spans="2:9">
      <c r="B440" t="s">
        <v>30</v>
      </c>
      <c r="C440" t="s">
        <v>2763</v>
      </c>
    </row>
    <row r="441" spans="2:9">
      <c r="C441" t="s">
        <v>2753</v>
      </c>
    </row>
    <row r="442" spans="2:9">
      <c r="D442" t="s">
        <v>2766</v>
      </c>
    </row>
    <row r="443" spans="2:9">
      <c r="D443" t="s">
        <v>2767</v>
      </c>
    </row>
    <row r="444" spans="2:9">
      <c r="E444" t="s">
        <v>2768</v>
      </c>
    </row>
    <row r="445" spans="2:9">
      <c r="E445" t="s">
        <v>2769</v>
      </c>
    </row>
    <row r="446" spans="2:9">
      <c r="F446" t="s">
        <v>2771</v>
      </c>
    </row>
    <row r="447" spans="2:9">
      <c r="F447" s="166">
        <v>350000</v>
      </c>
      <c r="G447" t="s">
        <v>2772</v>
      </c>
    </row>
    <row r="448" spans="2:9">
      <c r="F448" s="166" t="s">
        <v>2776</v>
      </c>
      <c r="G448" t="s">
        <v>2777</v>
      </c>
      <c r="I448">
        <f>0.6*60/Interims!BD287</f>
        <v>10.493268837099174</v>
      </c>
    </row>
    <row r="449" spans="2:4">
      <c r="D449" t="s">
        <v>2770</v>
      </c>
    </row>
    <row r="451" spans="2:4">
      <c r="C451" t="s">
        <v>2764</v>
      </c>
    </row>
    <row r="452" spans="2:4">
      <c r="C452" t="s">
        <v>2765</v>
      </c>
    </row>
    <row r="454" spans="2:4">
      <c r="C454" t="s">
        <v>399</v>
      </c>
    </row>
    <row r="455" spans="2:4">
      <c r="D455" t="s">
        <v>2773</v>
      </c>
    </row>
    <row r="456" spans="2:4">
      <c r="D456" t="s">
        <v>2774</v>
      </c>
    </row>
    <row r="457" spans="2:4">
      <c r="B457" t="s">
        <v>2214</v>
      </c>
    </row>
    <row r="458" spans="2:4">
      <c r="C458" t="s">
        <v>2749</v>
      </c>
    </row>
    <row r="459" spans="2:4">
      <c r="C459" t="s">
        <v>2746</v>
      </c>
    </row>
    <row r="460" spans="2:4">
      <c r="B460" t="s">
        <v>2692</v>
      </c>
    </row>
    <row r="461" spans="2:4">
      <c r="C461" t="s">
        <v>2747</v>
      </c>
    </row>
    <row r="462" spans="2:4">
      <c r="C462" t="s">
        <v>2748</v>
      </c>
    </row>
    <row r="463" spans="2:4">
      <c r="B463" t="s">
        <v>2778</v>
      </c>
    </row>
    <row r="464" spans="2:4">
      <c r="C464" t="s">
        <v>2779</v>
      </c>
    </row>
    <row r="465" spans="2:4">
      <c r="C465" t="s">
        <v>2780</v>
      </c>
    </row>
    <row r="467" spans="2:4">
      <c r="B467" s="17" t="s">
        <v>876</v>
      </c>
    </row>
    <row r="468" spans="2:4">
      <c r="B468" t="s">
        <v>2760</v>
      </c>
    </row>
    <row r="469" spans="2:4">
      <c r="C469" t="s">
        <v>2759</v>
      </c>
    </row>
    <row r="470" spans="2:4">
      <c r="C470" t="s">
        <v>2756</v>
      </c>
    </row>
    <row r="471" spans="2:4">
      <c r="D471" t="s">
        <v>2781</v>
      </c>
    </row>
    <row r="472" spans="2:4">
      <c r="D472" t="s">
        <v>2782</v>
      </c>
    </row>
    <row r="473" spans="2:4">
      <c r="D473" t="s">
        <v>2783</v>
      </c>
    </row>
    <row r="474" spans="2:4">
      <c r="D474" t="s">
        <v>2784</v>
      </c>
    </row>
    <row r="475" spans="2:4">
      <c r="C475" t="s">
        <v>2785</v>
      </c>
    </row>
    <row r="476" spans="2:4">
      <c r="B476" t="s">
        <v>2786</v>
      </c>
    </row>
    <row r="477" spans="2:4">
      <c r="C477" t="s">
        <v>2787</v>
      </c>
    </row>
    <row r="478" spans="2:4">
      <c r="C478" t="s">
        <v>2788</v>
      </c>
    </row>
    <row r="479" spans="2:4">
      <c r="C479" t="s">
        <v>2789</v>
      </c>
    </row>
    <row r="480" spans="2:4">
      <c r="B480" t="s">
        <v>2790</v>
      </c>
    </row>
    <row r="481" spans="2:3">
      <c r="C481" t="s">
        <v>2791</v>
      </c>
    </row>
    <row r="482" spans="2:3">
      <c r="C482" t="s">
        <v>2792</v>
      </c>
    </row>
    <row r="483" spans="2:3">
      <c r="B483" t="s">
        <v>2761</v>
      </c>
    </row>
    <row r="484" spans="2:3">
      <c r="B484" t="s">
        <v>2762</v>
      </c>
    </row>
    <row r="485" spans="2:3">
      <c r="C485" t="s">
        <v>2793</v>
      </c>
    </row>
    <row r="486" spans="2:3">
      <c r="C486" t="s">
        <v>2794</v>
      </c>
    </row>
    <row r="487" spans="2:3">
      <c r="B487" t="s">
        <v>2795</v>
      </c>
    </row>
    <row r="488" spans="2:3">
      <c r="C488" t="s">
        <v>2796</v>
      </c>
    </row>
    <row r="490" spans="2:3">
      <c r="B490" s="408" t="s">
        <v>2528</v>
      </c>
    </row>
    <row r="492" spans="2:3">
      <c r="B492" s="17" t="s">
        <v>1842</v>
      </c>
    </row>
    <row r="493" spans="2:3">
      <c r="B493" s="17"/>
      <c r="C493" t="s">
        <v>2639</v>
      </c>
    </row>
    <row r="494" spans="2:3">
      <c r="B494" s="17"/>
      <c r="C494" t="s">
        <v>2640</v>
      </c>
    </row>
    <row r="495" spans="2:3">
      <c r="B495" s="17"/>
      <c r="C495" t="s">
        <v>2641</v>
      </c>
    </row>
    <row r="496" spans="2:3">
      <c r="B496" s="17"/>
      <c r="C496" t="s">
        <v>2642</v>
      </c>
    </row>
    <row r="497" spans="2:4">
      <c r="B497" s="17"/>
      <c r="D497" t="s">
        <v>2643</v>
      </c>
    </row>
    <row r="498" spans="2:4">
      <c r="B498" s="17"/>
      <c r="D498" t="s">
        <v>2644</v>
      </c>
    </row>
    <row r="499" spans="2:4">
      <c r="B499" s="17"/>
      <c r="C499" t="s">
        <v>2645</v>
      </c>
    </row>
    <row r="500" spans="2:4">
      <c r="B500" s="17"/>
      <c r="D500" t="s">
        <v>2646</v>
      </c>
    </row>
    <row r="501" spans="2:4">
      <c r="B501" t="s">
        <v>2650</v>
      </c>
    </row>
    <row r="502" spans="2:4">
      <c r="B502" s="17"/>
      <c r="C502" t="s">
        <v>2647</v>
      </c>
    </row>
    <row r="503" spans="2:4">
      <c r="B503" s="17"/>
      <c r="C503" t="s">
        <v>2648</v>
      </c>
    </row>
    <row r="504" spans="2:4">
      <c r="B504" t="s">
        <v>2649</v>
      </c>
    </row>
    <row r="505" spans="2:4">
      <c r="C505" t="s">
        <v>2651</v>
      </c>
    </row>
    <row r="506" spans="2:4">
      <c r="B506" t="s">
        <v>2652</v>
      </c>
    </row>
    <row r="507" spans="2:4">
      <c r="C507" t="s">
        <v>2653</v>
      </c>
    </row>
    <row r="508" spans="2:4">
      <c r="B508" t="s">
        <v>2654</v>
      </c>
    </row>
    <row r="509" spans="2:4">
      <c r="C509" t="s">
        <v>2655</v>
      </c>
    </row>
    <row r="510" spans="2:4">
      <c r="B510" t="s">
        <v>2656</v>
      </c>
    </row>
    <row r="511" spans="2:4">
      <c r="C511" t="s">
        <v>2657</v>
      </c>
    </row>
    <row r="512" spans="2:4">
      <c r="D512" t="s">
        <v>2659</v>
      </c>
    </row>
    <row r="513" spans="2:4">
      <c r="B513" s="17"/>
      <c r="D513" t="s">
        <v>2658</v>
      </c>
    </row>
    <row r="514" spans="2:4">
      <c r="B514" s="17"/>
      <c r="C514" t="s">
        <v>2660</v>
      </c>
    </row>
    <row r="515" spans="2:4">
      <c r="B515" s="17"/>
      <c r="C515" t="s">
        <v>2661</v>
      </c>
    </row>
    <row r="516" spans="2:4">
      <c r="B516" s="17"/>
      <c r="C516" s="474">
        <f>20/(('New Ints'!G3+'New Ints'!H3+'New Ints'!I3+'New Ints'!J3)/1000)</f>
        <v>2.1042066246737164E-2</v>
      </c>
    </row>
    <row r="517" spans="2:4">
      <c r="B517" t="s">
        <v>2662</v>
      </c>
      <c r="C517" s="162"/>
    </row>
    <row r="518" spans="2:4">
      <c r="C518" s="162" t="s">
        <v>2663</v>
      </c>
    </row>
    <row r="519" spans="2:4">
      <c r="B519" s="17"/>
      <c r="C519" s="162" t="s">
        <v>2664</v>
      </c>
    </row>
    <row r="520" spans="2:4">
      <c r="B520" s="17"/>
      <c r="C520" s="162" t="s">
        <v>2665</v>
      </c>
    </row>
    <row r="521" spans="2:4">
      <c r="B521" s="17" t="s">
        <v>2666</v>
      </c>
    </row>
    <row r="522" spans="2:4">
      <c r="B522" s="17"/>
      <c r="C522" s="162" t="s">
        <v>2667</v>
      </c>
    </row>
    <row r="523" spans="2:4">
      <c r="B523" s="17"/>
      <c r="C523" s="162" t="s">
        <v>2668</v>
      </c>
    </row>
    <row r="524" spans="2:4">
      <c r="B524" s="17"/>
      <c r="C524" s="162"/>
      <c r="D524" t="s">
        <v>2669</v>
      </c>
    </row>
    <row r="525" spans="2:4">
      <c r="C525" s="162" t="s">
        <v>2672</v>
      </c>
    </row>
    <row r="526" spans="2:4">
      <c r="C526" s="162"/>
      <c r="D526" t="s">
        <v>2670</v>
      </c>
    </row>
    <row r="527" spans="2:4">
      <c r="C527" s="162"/>
      <c r="D527" t="s">
        <v>2671</v>
      </c>
    </row>
    <row r="528" spans="2:4">
      <c r="C528" s="162" t="s">
        <v>2673</v>
      </c>
    </row>
    <row r="529" spans="2:19">
      <c r="B529" t="s">
        <v>2674</v>
      </c>
      <c r="C529" s="162"/>
    </row>
    <row r="530" spans="2:19">
      <c r="C530" s="475"/>
      <c r="D530" s="476" t="s">
        <v>2676</v>
      </c>
      <c r="E530" s="476" t="s">
        <v>607</v>
      </c>
      <c r="F530" s="476"/>
    </row>
    <row r="531" spans="2:19">
      <c r="C531">
        <v>2020</v>
      </c>
      <c r="D531" s="162" t="s">
        <v>2675</v>
      </c>
      <c r="E531" t="s">
        <v>2678</v>
      </c>
      <c r="F531" t="s">
        <v>2677</v>
      </c>
    </row>
    <row r="532" spans="2:19">
      <c r="C532">
        <v>2021</v>
      </c>
      <c r="D532" s="419">
        <v>0.2</v>
      </c>
      <c r="F532" s="419">
        <v>0.12</v>
      </c>
    </row>
    <row r="533" spans="2:19">
      <c r="D533" s="419"/>
      <c r="F533" s="419">
        <v>0.12</v>
      </c>
    </row>
    <row r="534" spans="2:19">
      <c r="C534" s="178" t="s">
        <v>2686</v>
      </c>
      <c r="D534" s="419" t="s">
        <v>2687</v>
      </c>
    </row>
    <row r="535" spans="2:19">
      <c r="C535" s="162"/>
    </row>
    <row r="536" spans="2:19">
      <c r="B536" t="s">
        <v>2603</v>
      </c>
      <c r="R536" s="178" t="s">
        <v>2809</v>
      </c>
      <c r="S536" s="178"/>
    </row>
    <row r="537" spans="2:19">
      <c r="C537" t="s">
        <v>2529</v>
      </c>
      <c r="L537" s="108"/>
      <c r="M537" s="141" t="s">
        <v>68</v>
      </c>
      <c r="N537" s="141" t="s">
        <v>132</v>
      </c>
      <c r="O537" s="141" t="s">
        <v>30</v>
      </c>
      <c r="P537" s="141" t="s">
        <v>1709</v>
      </c>
      <c r="Q537" s="395" t="s">
        <v>2810</v>
      </c>
      <c r="R537" s="141" t="s">
        <v>2811</v>
      </c>
      <c r="S537" s="141"/>
    </row>
    <row r="538" spans="2:19">
      <c r="L538" s="397" t="s">
        <v>2808</v>
      </c>
    </row>
    <row r="539" spans="2:19">
      <c r="D539" t="s">
        <v>2679</v>
      </c>
      <c r="E539" t="s">
        <v>2681</v>
      </c>
      <c r="L539" s="148" t="s">
        <v>2498</v>
      </c>
      <c r="M539">
        <f>N539+O539</f>
        <v>2364</v>
      </c>
      <c r="N539">
        <v>1275</v>
      </c>
      <c r="O539">
        <v>1089</v>
      </c>
      <c r="P539">
        <f>D543</f>
        <v>410.8</v>
      </c>
      <c r="Q539" s="15">
        <f>M539*0.667*3</f>
        <v>4730.3639999999996</v>
      </c>
      <c r="R539" s="15">
        <f>Q539</f>
        <v>4730.3639999999996</v>
      </c>
    </row>
    <row r="540" spans="2:19">
      <c r="B540" t="s">
        <v>2604</v>
      </c>
      <c r="C540" t="s">
        <v>132</v>
      </c>
      <c r="D540">
        <v>1275</v>
      </c>
      <c r="E540">
        <f>1980-D540</f>
        <v>705</v>
      </c>
      <c r="L540" s="397">
        <v>2020</v>
      </c>
    </row>
    <row r="541" spans="2:19">
      <c r="C541" s="108" t="s">
        <v>30</v>
      </c>
      <c r="D541" s="108">
        <v>1089</v>
      </c>
      <c r="E541" s="108">
        <f>1262-D541</f>
        <v>173</v>
      </c>
      <c r="L541" s="148" t="s">
        <v>2705</v>
      </c>
      <c r="M541">
        <f>N541+O541</f>
        <v>156</v>
      </c>
      <c r="N541">
        <v>126</v>
      </c>
      <c r="O541">
        <v>30</v>
      </c>
      <c r="P541" s="164">
        <f>M541/$E$542*$E$543</f>
        <v>27.468792710706143</v>
      </c>
      <c r="Q541" s="15">
        <f t="shared" ref="Q541:Q547" si="0">M541*0.667*3</f>
        <v>312.15600000000001</v>
      </c>
      <c r="R541" s="15">
        <f>Q541+R539</f>
        <v>5042.5199999999995</v>
      </c>
      <c r="S541" s="162"/>
    </row>
    <row r="542" spans="2:19">
      <c r="D542">
        <f>D540+D541</f>
        <v>2364</v>
      </c>
      <c r="E542">
        <f>E540+E541</f>
        <v>878</v>
      </c>
      <c r="F542">
        <f>D542+E542</f>
        <v>3242</v>
      </c>
      <c r="G542" t="s">
        <v>2680</v>
      </c>
      <c r="J542">
        <f>410000/750</f>
        <v>546.66666666666663</v>
      </c>
      <c r="L542" s="148" t="s">
        <v>2727</v>
      </c>
      <c r="M542">
        <f>N542+O542</f>
        <v>167</v>
      </c>
      <c r="N542">
        <v>137</v>
      </c>
      <c r="O542">
        <v>30</v>
      </c>
      <c r="P542" s="164">
        <f t="shared" ref="P542:P544" si="1">M542/$E$542*$E$543</f>
        <v>29.40569476082004</v>
      </c>
      <c r="Q542" s="15">
        <f t="shared" si="0"/>
        <v>334.16700000000003</v>
      </c>
      <c r="R542" s="15">
        <f>Q542+R541</f>
        <v>5376.6869999999999</v>
      </c>
      <c r="S542" s="162"/>
    </row>
    <row r="543" spans="2:19">
      <c r="C543" t="s">
        <v>2721</v>
      </c>
      <c r="D543">
        <v>410.8</v>
      </c>
      <c r="E543">
        <f>565.4-D543</f>
        <v>154.59999999999997</v>
      </c>
      <c r="F543">
        <f>D543+E543</f>
        <v>565.4</v>
      </c>
      <c r="G543" t="s">
        <v>2682</v>
      </c>
      <c r="L543" s="148" t="s">
        <v>2797</v>
      </c>
      <c r="M543">
        <f>N543+O543</f>
        <v>83</v>
      </c>
      <c r="N543">
        <v>56</v>
      </c>
      <c r="O543">
        <v>27</v>
      </c>
      <c r="P543" s="164">
        <f t="shared" si="1"/>
        <v>14.614806378132116</v>
      </c>
      <c r="Q543" s="15">
        <f t="shared" si="0"/>
        <v>166.08300000000003</v>
      </c>
      <c r="R543" s="15">
        <f>Q543+R542</f>
        <v>5542.7699999999995</v>
      </c>
      <c r="S543" s="162"/>
    </row>
    <row r="544" spans="2:19">
      <c r="C544" t="s">
        <v>2903</v>
      </c>
      <c r="D544" s="478">
        <v>730</v>
      </c>
      <c r="E544">
        <f>D544</f>
        <v>730</v>
      </c>
      <c r="L544" s="148" t="s">
        <v>2819</v>
      </c>
      <c r="M544">
        <f>530-M541-M542-M543</f>
        <v>124</v>
      </c>
      <c r="N544">
        <f>406-N541-N542-N543</f>
        <v>87</v>
      </c>
      <c r="O544">
        <f>M544-N544</f>
        <v>37</v>
      </c>
      <c r="P544" s="164">
        <f t="shared" si="1"/>
        <v>21.834168564920269</v>
      </c>
      <c r="Q544" s="15">
        <f t="shared" si="0"/>
        <v>248.124</v>
      </c>
      <c r="R544" s="15">
        <f>Q544+R543</f>
        <v>5790.8939999999993</v>
      </c>
    </row>
    <row r="545" spans="3:18">
      <c r="C545" t="s">
        <v>2715</v>
      </c>
      <c r="D545" s="15">
        <f>D543*1000/D544</f>
        <v>562.7397260273973</v>
      </c>
      <c r="E545" s="15">
        <f>E543*1000/E544</f>
        <v>211.78082191780817</v>
      </c>
      <c r="F545" s="15">
        <f>D545+E545</f>
        <v>774.52054794520541</v>
      </c>
      <c r="I545" s="15">
        <f>F543/I558</f>
        <v>21.788920468821726</v>
      </c>
      <c r="L545" s="148" t="s">
        <v>2904</v>
      </c>
      <c r="M545" s="15">
        <f>N545+O545</f>
        <v>26.124191461837004</v>
      </c>
      <c r="N545" s="15">
        <f>O545/O544*N544</f>
        <v>18.329069815966285</v>
      </c>
      <c r="O545" s="15">
        <f>P545/P544*O544</f>
        <v>7.7951216458707187</v>
      </c>
      <c r="P545" s="166">
        <f>'New Ints'!O54/1000</f>
        <v>4.5999999999999996</v>
      </c>
      <c r="Q545" s="15">
        <f t="shared" si="0"/>
        <v>52.274507115135847</v>
      </c>
      <c r="R545" s="15">
        <f>Q545+R544</f>
        <v>5843.1685071151351</v>
      </c>
    </row>
    <row r="546" spans="3:18">
      <c r="C546" t="s">
        <v>2716</v>
      </c>
      <c r="D546" s="166">
        <f>D545*1000000/D542</f>
        <v>238045.56938553185</v>
      </c>
      <c r="E546" s="166">
        <f>E545*1000000/E542</f>
        <v>241208.22541891591</v>
      </c>
      <c r="F546" s="166">
        <f>F545*1000000/F542</f>
        <v>238902.08141431384</v>
      </c>
      <c r="L546" s="148" t="s">
        <v>2907</v>
      </c>
      <c r="M546" s="15">
        <f>N546+O546</f>
        <v>58.495472186287209</v>
      </c>
      <c r="N546" s="15">
        <f>O546/O545*N545</f>
        <v>41.041178066185381</v>
      </c>
      <c r="O546" s="15">
        <f>P546/P545*O545</f>
        <v>17.454294120101828</v>
      </c>
      <c r="P546" s="166">
        <f>'New Ints'!P54/1000</f>
        <v>10.3</v>
      </c>
      <c r="Q546" s="15">
        <f t="shared" si="0"/>
        <v>117.04943984476071</v>
      </c>
      <c r="R546" s="15">
        <f>Q546+R545</f>
        <v>5960.2179469598959</v>
      </c>
    </row>
    <row r="547" spans="3:18">
      <c r="D547" s="15"/>
      <c r="E547" s="15"/>
      <c r="L547" s="395" t="s">
        <v>2910</v>
      </c>
      <c r="M547" s="246">
        <f>M548-SUM(M539:M546)</f>
        <v>263.38033635187548</v>
      </c>
      <c r="N547" s="246">
        <f>N548-SUM(N539:N546)</f>
        <v>239.62975211784828</v>
      </c>
      <c r="O547" s="246">
        <f>O548-SUM(O539:O546)</f>
        <v>23.750584234027428</v>
      </c>
      <c r="P547" s="246">
        <f>M547/$E$542*$E$543</f>
        <v>46.376537585421346</v>
      </c>
      <c r="Q547" s="246">
        <f t="shared" si="0"/>
        <v>527.0240530401029</v>
      </c>
      <c r="R547" s="246">
        <f>Q547+R543</f>
        <v>6069.7940530401029</v>
      </c>
    </row>
    <row r="548" spans="3:18">
      <c r="D548" t="s">
        <v>2701</v>
      </c>
      <c r="L548" s="148" t="s">
        <v>68</v>
      </c>
      <c r="M548">
        <f>SUM(N548:O548)</f>
        <v>3242</v>
      </c>
      <c r="N548">
        <f>D540+E540</f>
        <v>1980</v>
      </c>
      <c r="O548">
        <f>D541+E541</f>
        <v>1262</v>
      </c>
      <c r="P548">
        <f>SUM(P539:P547)</f>
        <v>565.4</v>
      </c>
    </row>
    <row r="549" spans="3:18">
      <c r="D549" t="s">
        <v>2702</v>
      </c>
      <c r="E549">
        <f>E543-D543</f>
        <v>-256.20000000000005</v>
      </c>
    </row>
    <row r="551" spans="3:18">
      <c r="C551" t="s">
        <v>2579</v>
      </c>
      <c r="D551">
        <v>165.2</v>
      </c>
      <c r="E551" s="164">
        <f>E552*E543</f>
        <v>62.171178188899688</v>
      </c>
    </row>
    <row r="552" spans="3:18">
      <c r="C552" t="s">
        <v>2722</v>
      </c>
      <c r="D552" s="57">
        <f>D551/D543</f>
        <v>0.4021421616358325</v>
      </c>
      <c r="E552" s="57">
        <f>D552</f>
        <v>0.4021421616358325</v>
      </c>
    </row>
    <row r="554" spans="3:18">
      <c r="C554" s="17" t="s">
        <v>132</v>
      </c>
    </row>
    <row r="555" spans="3:18">
      <c r="C555" t="s">
        <v>2703</v>
      </c>
    </row>
    <row r="556" spans="3:18">
      <c r="C556" t="s">
        <v>2683</v>
      </c>
      <c r="G556" s="164">
        <f>D540*0.667*12/1000</f>
        <v>10.2051</v>
      </c>
      <c r="H556" s="164">
        <f>E540*0.667*12/1000</f>
        <v>5.6428199999999995</v>
      </c>
    </row>
    <row r="557" spans="3:18">
      <c r="G557" s="164">
        <f>D541*0.667*12/1000</f>
        <v>8.7163559999999993</v>
      </c>
      <c r="H557" s="164">
        <f>E541*0.667*12/1000</f>
        <v>1.384692</v>
      </c>
    </row>
    <row r="558" spans="3:18">
      <c r="G558" s="164">
        <f>G556+G557</f>
        <v>18.921455999999999</v>
      </c>
      <c r="H558" s="164">
        <f>H556+H557</f>
        <v>7.0275119999999998</v>
      </c>
      <c r="I558" s="164">
        <f>G558+H558</f>
        <v>25.948968000000001</v>
      </c>
    </row>
    <row r="559" spans="3:18">
      <c r="G559" s="164">
        <f>D543/G558</f>
        <v>21.710802805027267</v>
      </c>
    </row>
    <row r="560" spans="3:18">
      <c r="C560" t="s">
        <v>2717</v>
      </c>
      <c r="D560">
        <v>667000</v>
      </c>
      <c r="E560">
        <v>667000</v>
      </c>
      <c r="G560" s="164"/>
    </row>
    <row r="561" spans="3:7">
      <c r="C561" t="s">
        <v>2718</v>
      </c>
      <c r="D561" s="15">
        <f>D560/D544</f>
        <v>913.69863013698625</v>
      </c>
      <c r="E561" s="15">
        <f>E560/E544</f>
        <v>913.69863013698625</v>
      </c>
      <c r="G561" s="164"/>
    </row>
    <row r="562" spans="3:7">
      <c r="C562" t="s">
        <v>2926</v>
      </c>
      <c r="D562" s="15">
        <f>D561*D542/1000000*12</f>
        <v>25.919802739726023</v>
      </c>
      <c r="E562" s="15">
        <f>E561*E542/1000000*12</f>
        <v>9.6267287671232875</v>
      </c>
      <c r="F562" s="15">
        <f>D562+E562</f>
        <v>35.546531506849313</v>
      </c>
      <c r="G562" s="164"/>
    </row>
    <row r="563" spans="3:7">
      <c r="C563" t="s">
        <v>2719</v>
      </c>
      <c r="D563" s="164">
        <f>D545/D562</f>
        <v>21.710802805027271</v>
      </c>
      <c r="E563" s="164">
        <f>E545/E562</f>
        <v>21.999250944004075</v>
      </c>
      <c r="G563" s="164"/>
    </row>
    <row r="564" spans="3:7">
      <c r="D564" s="164"/>
      <c r="E564" s="164"/>
      <c r="G564" s="164"/>
    </row>
    <row r="565" spans="3:7">
      <c r="D565" s="15"/>
      <c r="E565" s="15"/>
      <c r="G565" s="164"/>
    </row>
    <row r="566" spans="3:7">
      <c r="G566" s="164"/>
    </row>
    <row r="567" spans="3:7">
      <c r="C567" t="str">
        <f>C546</f>
        <v>Cost / tower</v>
      </c>
      <c r="D567">
        <f>D546/1000000</f>
        <v>0.23804556938553184</v>
      </c>
      <c r="G567" s="164"/>
    </row>
    <row r="568" spans="3:7">
      <c r="C568" t="s">
        <v>1708</v>
      </c>
      <c r="D568">
        <v>60000</v>
      </c>
      <c r="G568" s="164"/>
    </row>
    <row r="569" spans="3:7">
      <c r="C569" t="s">
        <v>2720</v>
      </c>
      <c r="D569" s="15">
        <f>D567*D568</f>
        <v>14282.73416313191</v>
      </c>
      <c r="G569" s="164"/>
    </row>
    <row r="570" spans="3:7">
      <c r="G570" s="164"/>
    </row>
    <row r="571" spans="3:7">
      <c r="C571" t="s">
        <v>4</v>
      </c>
      <c r="D571" s="15">
        <f>D569/D563</f>
        <v>657.86301369862997</v>
      </c>
      <c r="G571" s="164"/>
    </row>
    <row r="572" spans="3:7">
      <c r="C572" t="s">
        <v>2723</v>
      </c>
      <c r="D572" s="164">
        <f>D564-5</f>
        <v>-5</v>
      </c>
      <c r="G572" s="164"/>
    </row>
    <row r="573" spans="3:7">
      <c r="C573" t="s">
        <v>2724</v>
      </c>
      <c r="D573" s="15">
        <f>D571*D572</f>
        <v>-3289.3150684931497</v>
      </c>
      <c r="G573" s="164"/>
    </row>
    <row r="574" spans="3:7">
      <c r="C574" t="s">
        <v>2725</v>
      </c>
      <c r="D574" s="15">
        <v>3302</v>
      </c>
      <c r="G574" s="164"/>
    </row>
    <row r="575" spans="3:7">
      <c r="C575" t="s">
        <v>2726</v>
      </c>
      <c r="D575" s="164">
        <f>D573/D574</f>
        <v>-0.9961584095981677</v>
      </c>
      <c r="G575" s="164"/>
    </row>
    <row r="576" spans="3:7">
      <c r="G576" s="164"/>
    </row>
    <row r="577" spans="2:7">
      <c r="C577" s="17" t="s">
        <v>30</v>
      </c>
      <c r="G577" s="164"/>
    </row>
    <row r="578" spans="2:7">
      <c r="C578" t="s">
        <v>2684</v>
      </c>
      <c r="G578" s="164"/>
    </row>
    <row r="579" spans="2:7">
      <c r="G579" s="164"/>
    </row>
    <row r="580" spans="2:7">
      <c r="C580" t="s">
        <v>2685</v>
      </c>
      <c r="G580" s="164"/>
    </row>
    <row r="581" spans="2:7">
      <c r="D581" s="15"/>
    </row>
    <row r="582" spans="2:7">
      <c r="B582" t="s">
        <v>2566</v>
      </c>
    </row>
    <row r="583" spans="2:7">
      <c r="C583" t="s">
        <v>2574</v>
      </c>
    </row>
    <row r="584" spans="2:7">
      <c r="C584" t="s">
        <v>2567</v>
      </c>
      <c r="E584" s="15">
        <f>Master!E247</f>
        <v>1550403</v>
      </c>
    </row>
    <row r="585" spans="2:7">
      <c r="C585" t="s">
        <v>2568</v>
      </c>
      <c r="E585" s="15">
        <f>E584-'New Ints'!J131</f>
        <v>338525</v>
      </c>
    </row>
    <row r="586" spans="2:7">
      <c r="B586" t="s">
        <v>2563</v>
      </c>
    </row>
    <row r="587" spans="2:7">
      <c r="C587" t="s">
        <v>2564</v>
      </c>
    </row>
    <row r="588" spans="2:7">
      <c r="B588" t="s">
        <v>2552</v>
      </c>
      <c r="E588" s="15"/>
    </row>
    <row r="589" spans="2:7">
      <c r="E589" s="15"/>
    </row>
    <row r="590" spans="2:7">
      <c r="B590" t="s">
        <v>2537</v>
      </c>
      <c r="C590" s="15"/>
    </row>
    <row r="591" spans="2:7">
      <c r="C591" s="15" t="s">
        <v>132</v>
      </c>
      <c r="D591" s="178"/>
    </row>
    <row r="592" spans="2:7">
      <c r="C592" s="15" t="s">
        <v>30</v>
      </c>
      <c r="D592" s="178"/>
    </row>
    <row r="593" spans="2:8">
      <c r="B593" t="s">
        <v>2548</v>
      </c>
      <c r="C593" s="15"/>
      <c r="D593" s="178"/>
    </row>
    <row r="594" spans="2:8">
      <c r="C594" s="15"/>
      <c r="D594" s="178"/>
    </row>
    <row r="595" spans="2:8">
      <c r="B595" s="17" t="s">
        <v>2619</v>
      </c>
      <c r="D595" s="178"/>
    </row>
    <row r="596" spans="2:8">
      <c r="C596" s="17" t="s">
        <v>30</v>
      </c>
      <c r="D596" s="178"/>
      <c r="H596" s="17"/>
    </row>
    <row r="597" spans="2:8">
      <c r="C597" t="s">
        <v>2632</v>
      </c>
      <c r="D597" s="178"/>
      <c r="H597" s="17"/>
    </row>
    <row r="598" spans="2:8">
      <c r="C598" t="s">
        <v>2638</v>
      </c>
      <c r="D598" s="178"/>
      <c r="H598" s="17"/>
    </row>
    <row r="599" spans="2:8">
      <c r="C599" t="s">
        <v>2633</v>
      </c>
      <c r="D599" s="178"/>
      <c r="H599" s="17"/>
    </row>
    <row r="600" spans="2:8">
      <c r="D600" s="148" t="s">
        <v>2634</v>
      </c>
      <c r="H600" s="17"/>
    </row>
    <row r="601" spans="2:8">
      <c r="D601" s="148" t="s">
        <v>2635</v>
      </c>
      <c r="H601" s="17"/>
    </row>
    <row r="602" spans="2:8">
      <c r="C602" t="s">
        <v>2636</v>
      </c>
      <c r="D602" s="148"/>
      <c r="H602" s="17"/>
    </row>
    <row r="603" spans="2:8">
      <c r="B603" t="s">
        <v>2688</v>
      </c>
      <c r="D603" s="148"/>
      <c r="H603" s="17"/>
    </row>
    <row r="604" spans="2:8">
      <c r="C604" s="17" t="s">
        <v>2694</v>
      </c>
      <c r="D604" s="148"/>
      <c r="H604" s="17"/>
    </row>
    <row r="605" spans="2:8">
      <c r="C605" s="17"/>
      <c r="D605" s="148" t="s">
        <v>2695</v>
      </c>
      <c r="H605" s="17"/>
    </row>
    <row r="606" spans="2:8">
      <c r="C606" s="17"/>
      <c r="D606" s="148" t="s">
        <v>2696</v>
      </c>
      <c r="H606" s="17"/>
    </row>
    <row r="607" spans="2:8">
      <c r="C607" t="s">
        <v>2689</v>
      </c>
      <c r="D607" s="148"/>
      <c r="H607" s="17"/>
    </row>
    <row r="608" spans="2:8">
      <c r="C608" t="s">
        <v>2690</v>
      </c>
      <c r="D608" s="148"/>
      <c r="H608" s="17"/>
    </row>
    <row r="609" spans="2:14">
      <c r="C609" t="s">
        <v>2691</v>
      </c>
      <c r="D609" s="148"/>
      <c r="H609" s="17"/>
    </row>
    <row r="610" spans="2:14">
      <c r="C610" s="17" t="s">
        <v>2692</v>
      </c>
      <c r="D610" s="148"/>
      <c r="H610" s="17"/>
    </row>
    <row r="611" spans="2:14">
      <c r="C611" t="s">
        <v>2693</v>
      </c>
      <c r="D611" s="148"/>
      <c r="H611" s="17"/>
    </row>
    <row r="612" spans="2:14">
      <c r="C612" t="s">
        <v>2697</v>
      </c>
      <c r="D612" s="148"/>
      <c r="H612" s="17"/>
    </row>
    <row r="613" spans="2:14">
      <c r="D613" s="148" t="s">
        <v>2698</v>
      </c>
      <c r="H613" s="17"/>
    </row>
    <row r="614" spans="2:14">
      <c r="D614" s="148"/>
      <c r="H614" s="17"/>
    </row>
    <row r="615" spans="2:14">
      <c r="B615" t="s">
        <v>2699</v>
      </c>
      <c r="D615" s="178"/>
      <c r="H615" s="17" t="s">
        <v>2620</v>
      </c>
      <c r="K615" s="17" t="s">
        <v>2706</v>
      </c>
    </row>
    <row r="616" spans="2:14">
      <c r="C616" s="249" t="s">
        <v>132</v>
      </c>
      <c r="F616">
        <v>700</v>
      </c>
      <c r="G616">
        <v>20</v>
      </c>
      <c r="H616" s="178" t="s">
        <v>2621</v>
      </c>
      <c r="K616" t="str">
        <f>F619</f>
        <v xml:space="preserve">3.5GHz </v>
      </c>
      <c r="L616">
        <v>100</v>
      </c>
      <c r="M616" t="s">
        <v>133</v>
      </c>
      <c r="N616" t="s">
        <v>2707</v>
      </c>
    </row>
    <row r="617" spans="2:14">
      <c r="C617" s="473" t="s">
        <v>2626</v>
      </c>
      <c r="D617" s="420" t="s">
        <v>2625</v>
      </c>
      <c r="F617" s="178" t="s">
        <v>938</v>
      </c>
      <c r="G617">
        <v>10</v>
      </c>
      <c r="H617" s="178" t="s">
        <v>134</v>
      </c>
      <c r="L617">
        <v>50</v>
      </c>
      <c r="M617" t="s">
        <v>936</v>
      </c>
      <c r="N617" t="s">
        <v>2708</v>
      </c>
    </row>
    <row r="618" spans="2:14">
      <c r="C618" s="473"/>
      <c r="D618" s="420"/>
      <c r="F618" s="178">
        <v>900</v>
      </c>
      <c r="G618">
        <v>10</v>
      </c>
      <c r="H618" s="178" t="s">
        <v>133</v>
      </c>
    </row>
    <row r="619" spans="2:14">
      <c r="C619" t="s">
        <v>2627</v>
      </c>
      <c r="F619" s="178" t="s">
        <v>2637</v>
      </c>
      <c r="G619" s="17">
        <v>60</v>
      </c>
      <c r="H619" s="178"/>
    </row>
    <row r="620" spans="2:14">
      <c r="F620" s="471" t="s">
        <v>1385</v>
      </c>
      <c r="G620" s="401">
        <v>20</v>
      </c>
      <c r="H620" s="470" t="s">
        <v>133</v>
      </c>
      <c r="I620" s="477" t="s">
        <v>2709</v>
      </c>
    </row>
    <row r="621" spans="2:14">
      <c r="F621" s="470"/>
      <c r="G621" s="401">
        <v>20</v>
      </c>
      <c r="H621" s="470" t="s">
        <v>936</v>
      </c>
      <c r="I621" s="477" t="s">
        <v>2710</v>
      </c>
    </row>
    <row r="622" spans="2:14">
      <c r="F622" s="470"/>
      <c r="G622" s="401">
        <v>20</v>
      </c>
      <c r="H622" s="470" t="s">
        <v>2621</v>
      </c>
    </row>
    <row r="623" spans="2:14">
      <c r="F623" s="472"/>
      <c r="G623" s="472" t="s">
        <v>2622</v>
      </c>
      <c r="H623" s="472" t="s">
        <v>134</v>
      </c>
    </row>
    <row r="624" spans="2:14">
      <c r="F624" s="178" t="s">
        <v>2623</v>
      </c>
      <c r="G624" s="178">
        <f>G616+G617+G619+G618</f>
        <v>100</v>
      </c>
      <c r="H624" s="470"/>
    </row>
    <row r="625" spans="3:8">
      <c r="F625" s="178"/>
    </row>
    <row r="626" spans="3:8">
      <c r="F626" s="178"/>
      <c r="H626" s="420" t="s">
        <v>2624</v>
      </c>
    </row>
    <row r="627" spans="3:8">
      <c r="F627" t="str">
        <f>F619</f>
        <v xml:space="preserve">3.5GHz </v>
      </c>
      <c r="G627">
        <v>30</v>
      </c>
      <c r="H627" s="178" t="s">
        <v>1636</v>
      </c>
    </row>
    <row r="628" spans="3:8">
      <c r="G628">
        <v>30</v>
      </c>
      <c r="H628" s="178" t="s">
        <v>134</v>
      </c>
    </row>
    <row r="629" spans="3:8">
      <c r="F629" s="178">
        <f>F616</f>
        <v>700</v>
      </c>
      <c r="G629">
        <f>G616</f>
        <v>20</v>
      </c>
      <c r="H629" s="178" t="s">
        <v>1636</v>
      </c>
    </row>
    <row r="630" spans="3:8">
      <c r="F630" s="178"/>
    </row>
    <row r="631" spans="3:8">
      <c r="C631" s="249" t="s">
        <v>30</v>
      </c>
      <c r="F631" s="178"/>
    </row>
    <row r="632" spans="3:8">
      <c r="C632" s="473" t="s">
        <v>2626</v>
      </c>
      <c r="D632" s="420" t="s">
        <v>2625</v>
      </c>
      <c r="F632" s="178" t="s">
        <v>1386</v>
      </c>
      <c r="G632">
        <v>60</v>
      </c>
    </row>
    <row r="633" spans="3:8">
      <c r="C633" s="15" t="s">
        <v>2700</v>
      </c>
      <c r="D633" s="420"/>
      <c r="F633" s="470" t="s">
        <v>2628</v>
      </c>
      <c r="G633" s="401">
        <v>10</v>
      </c>
    </row>
    <row r="634" spans="3:8">
      <c r="C634" s="473"/>
      <c r="D634" s="420"/>
      <c r="F634" s="470" t="s">
        <v>2629</v>
      </c>
      <c r="G634" s="401">
        <v>50</v>
      </c>
      <c r="H634" s="178"/>
    </row>
    <row r="635" spans="3:8">
      <c r="C635" s="473"/>
      <c r="D635" s="420"/>
      <c r="F635" s="141" t="s">
        <v>2630</v>
      </c>
      <c r="G635" s="108">
        <v>30</v>
      </c>
      <c r="H635" s="108"/>
    </row>
    <row r="636" spans="3:8">
      <c r="F636" s="178" t="s">
        <v>2623</v>
      </c>
      <c r="G636" s="178">
        <f>G632+G635</f>
        <v>90</v>
      </c>
      <c r="H636" s="470"/>
    </row>
    <row r="637" spans="3:8">
      <c r="F637" s="178"/>
      <c r="G637" s="178"/>
      <c r="H637" s="470"/>
    </row>
    <row r="638" spans="3:8">
      <c r="F638" s="178"/>
      <c r="H638" s="420" t="s">
        <v>2624</v>
      </c>
    </row>
    <row r="639" spans="3:8">
      <c r="F639" s="178" t="s">
        <v>2631</v>
      </c>
      <c r="G639">
        <v>20</v>
      </c>
      <c r="H639" s="178" t="s">
        <v>1186</v>
      </c>
    </row>
    <row r="640" spans="3:8">
      <c r="F640" s="178"/>
      <c r="H640" s="420"/>
    </row>
    <row r="641" spans="2:6">
      <c r="B641" s="408" t="s">
        <v>2451</v>
      </c>
    </row>
    <row r="643" spans="2:6">
      <c r="B643" t="s">
        <v>2452</v>
      </c>
    </row>
    <row r="644" spans="2:6">
      <c r="B644" t="s">
        <v>2453</v>
      </c>
    </row>
    <row r="645" spans="2:6">
      <c r="B645" t="s">
        <v>2454</v>
      </c>
    </row>
    <row r="647" spans="2:6">
      <c r="B647" s="17" t="s">
        <v>2456</v>
      </c>
    </row>
    <row r="648" spans="2:6">
      <c r="B648" t="s">
        <v>2458</v>
      </c>
    </row>
    <row r="649" spans="2:6">
      <c r="B649" t="s">
        <v>2455</v>
      </c>
    </row>
    <row r="650" spans="2:6">
      <c r="C650" t="s">
        <v>2457</v>
      </c>
    </row>
    <row r="651" spans="2:6">
      <c r="C651" t="s">
        <v>2459</v>
      </c>
    </row>
    <row r="652" spans="2:6">
      <c r="B652" t="s">
        <v>30</v>
      </c>
    </row>
    <row r="653" spans="2:6">
      <c r="C653" t="s">
        <v>2460</v>
      </c>
    </row>
    <row r="654" spans="2:6">
      <c r="C654" t="s">
        <v>822</v>
      </c>
    </row>
    <row r="655" spans="2:6">
      <c r="C655" s="14">
        <v>43466</v>
      </c>
      <c r="D655" s="464">
        <v>6.6100000000000004E-3</v>
      </c>
      <c r="E655" s="464">
        <v>3.0200000000000001E-3</v>
      </c>
      <c r="F655" s="57">
        <f>E655/D655-1</f>
        <v>-0.5431164901664145</v>
      </c>
    </row>
    <row r="656" spans="2:6">
      <c r="D656" s="164">
        <f>D655*100</f>
        <v>0.66100000000000003</v>
      </c>
      <c r="E656" s="164">
        <f>E655*100</f>
        <v>0.30199999999999999</v>
      </c>
    </row>
    <row r="657" spans="2:5">
      <c r="D657" s="164"/>
      <c r="E657" s="164"/>
    </row>
    <row r="658" spans="2:5">
      <c r="B658" t="s">
        <v>132</v>
      </c>
    </row>
    <row r="659" spans="2:5">
      <c r="C659" t="s">
        <v>2461</v>
      </c>
    </row>
    <row r="660" spans="2:5">
      <c r="C660" t="s">
        <v>2462</v>
      </c>
    </row>
    <row r="661" spans="2:5">
      <c r="C661" t="s">
        <v>2463</v>
      </c>
    </row>
    <row r="663" spans="2:5">
      <c r="B663" t="s">
        <v>2464</v>
      </c>
      <c r="C663" t="s">
        <v>2465</v>
      </c>
    </row>
    <row r="664" spans="2:5">
      <c r="C664" t="s">
        <v>2466</v>
      </c>
    </row>
    <row r="665" spans="2:5">
      <c r="C665" t="s">
        <v>2467</v>
      </c>
    </row>
    <row r="667" spans="2:5">
      <c r="B667" s="408" t="s">
        <v>2425</v>
      </c>
    </row>
    <row r="669" spans="2:5">
      <c r="B669" s="17" t="s">
        <v>132</v>
      </c>
    </row>
    <row r="670" spans="2:5">
      <c r="B670" t="s">
        <v>2426</v>
      </c>
    </row>
    <row r="671" spans="2:5">
      <c r="B671" t="s">
        <v>2427</v>
      </c>
    </row>
    <row r="672" spans="2:5">
      <c r="C672" t="s">
        <v>2428</v>
      </c>
    </row>
    <row r="673" spans="2:3">
      <c r="C673" t="s">
        <v>2429</v>
      </c>
    </row>
    <row r="674" spans="2:3">
      <c r="B674" t="s">
        <v>2430</v>
      </c>
    </row>
    <row r="675" spans="2:3">
      <c r="B675" t="s">
        <v>2431</v>
      </c>
    </row>
    <row r="676" spans="2:3">
      <c r="C676" t="s">
        <v>2432</v>
      </c>
    </row>
    <row r="677" spans="2:3">
      <c r="C677" t="s">
        <v>2433</v>
      </c>
    </row>
    <row r="678" spans="2:3">
      <c r="B678" t="s">
        <v>132</v>
      </c>
    </row>
    <row r="679" spans="2:3">
      <c r="C679" t="s">
        <v>2434</v>
      </c>
    </row>
    <row r="680" spans="2:3">
      <c r="C680" t="s">
        <v>2435</v>
      </c>
    </row>
    <row r="681" spans="2:3">
      <c r="B681" t="s">
        <v>2436</v>
      </c>
    </row>
    <row r="683" spans="2:3">
      <c r="B683" s="17" t="s">
        <v>30</v>
      </c>
    </row>
    <row r="684" spans="2:3">
      <c r="B684" t="s">
        <v>2438</v>
      </c>
    </row>
    <row r="685" spans="2:3">
      <c r="B685" t="s">
        <v>2437</v>
      </c>
    </row>
    <row r="686" spans="2:3">
      <c r="B686" t="s">
        <v>2439</v>
      </c>
    </row>
    <row r="688" spans="2:3">
      <c r="B688" t="s">
        <v>2440</v>
      </c>
    </row>
    <row r="689" spans="2:2">
      <c r="B689" t="s">
        <v>2441</v>
      </c>
    </row>
    <row r="690" spans="2:2">
      <c r="B690" t="s">
        <v>2442</v>
      </c>
    </row>
    <row r="691" spans="2:2">
      <c r="B691" t="s">
        <v>2445</v>
      </c>
    </row>
    <row r="692" spans="2:2">
      <c r="B692" t="s">
        <v>2443</v>
      </c>
    </row>
    <row r="693" spans="2:2">
      <c r="B693" t="s">
        <v>2444</v>
      </c>
    </row>
    <row r="694" spans="2:2">
      <c r="B694" t="s">
        <v>2446</v>
      </c>
    </row>
    <row r="696" spans="2:2">
      <c r="B696" s="17" t="s">
        <v>876</v>
      </c>
    </row>
    <row r="697" spans="2:2">
      <c r="B697" t="s">
        <v>2447</v>
      </c>
    </row>
    <row r="698" spans="2:2">
      <c r="B698" s="17"/>
    </row>
    <row r="699" spans="2:2">
      <c r="B699" s="17" t="s">
        <v>2448</v>
      </c>
    </row>
    <row r="700" spans="2:2">
      <c r="B700" t="s">
        <v>2449</v>
      </c>
    </row>
    <row r="701" spans="2:2">
      <c r="B701" s="17"/>
    </row>
    <row r="703" spans="2:2">
      <c r="B703" s="408" t="s">
        <v>2247</v>
      </c>
    </row>
    <row r="705" spans="2:5">
      <c r="B705" s="17" t="s">
        <v>132</v>
      </c>
    </row>
    <row r="706" spans="2:5">
      <c r="B706" t="s">
        <v>2248</v>
      </c>
    </row>
    <row r="707" spans="2:5">
      <c r="C707" t="s">
        <v>2206</v>
      </c>
      <c r="D707" t="s">
        <v>2263</v>
      </c>
    </row>
    <row r="708" spans="2:5">
      <c r="E708" t="s">
        <v>2382</v>
      </c>
    </row>
    <row r="709" spans="2:5">
      <c r="E709" t="s">
        <v>2264</v>
      </c>
    </row>
    <row r="710" spans="2:5">
      <c r="E710" t="s">
        <v>2265</v>
      </c>
    </row>
    <row r="711" spans="2:5">
      <c r="D711" t="s">
        <v>2266</v>
      </c>
    </row>
    <row r="712" spans="2:5">
      <c r="E712" t="s">
        <v>2267</v>
      </c>
    </row>
    <row r="713" spans="2:5">
      <c r="D713" t="s">
        <v>2268</v>
      </c>
    </row>
    <row r="714" spans="2:5">
      <c r="D714" t="s">
        <v>2269</v>
      </c>
    </row>
    <row r="715" spans="2:5">
      <c r="D715" t="s">
        <v>2270</v>
      </c>
    </row>
    <row r="716" spans="2:5">
      <c r="D716" t="s">
        <v>2271</v>
      </c>
    </row>
    <row r="717" spans="2:5">
      <c r="D717" t="s">
        <v>936</v>
      </c>
      <c r="E717" t="s">
        <v>2273</v>
      </c>
    </row>
    <row r="718" spans="2:5">
      <c r="D718" t="s">
        <v>134</v>
      </c>
      <c r="E718" t="s">
        <v>2381</v>
      </c>
    </row>
    <row r="719" spans="2:5">
      <c r="E719" t="s">
        <v>2380</v>
      </c>
    </row>
    <row r="720" spans="2:5">
      <c r="D720" t="s">
        <v>2274</v>
      </c>
    </row>
    <row r="721" spans="2:5">
      <c r="E721" t="s">
        <v>2275</v>
      </c>
    </row>
    <row r="722" spans="2:5">
      <c r="D722" t="s">
        <v>2272</v>
      </c>
    </row>
    <row r="723" spans="2:5">
      <c r="D723" t="s">
        <v>2276</v>
      </c>
    </row>
    <row r="724" spans="2:5">
      <c r="D724" t="s">
        <v>2277</v>
      </c>
    </row>
    <row r="725" spans="2:5">
      <c r="C725" t="s">
        <v>1387</v>
      </c>
    </row>
    <row r="726" spans="2:5">
      <c r="D726" t="s">
        <v>2377</v>
      </c>
    </row>
    <row r="727" spans="2:5">
      <c r="D727" t="s">
        <v>2378</v>
      </c>
    </row>
    <row r="728" spans="2:5">
      <c r="E728" t="s">
        <v>2379</v>
      </c>
    </row>
    <row r="729" spans="2:5">
      <c r="D729" t="s">
        <v>2278</v>
      </c>
    </row>
    <row r="730" spans="2:5">
      <c r="E730" s="59" t="s">
        <v>2280</v>
      </c>
    </row>
    <row r="731" spans="2:5">
      <c r="E731" t="s">
        <v>2279</v>
      </c>
    </row>
    <row r="732" spans="2:5">
      <c r="D732" t="s">
        <v>2383</v>
      </c>
    </row>
    <row r="733" spans="2:5">
      <c r="B733" t="s">
        <v>1439</v>
      </c>
    </row>
    <row r="734" spans="2:5">
      <c r="C734" t="s">
        <v>2281</v>
      </c>
    </row>
    <row r="735" spans="2:5">
      <c r="D735" t="s">
        <v>2282</v>
      </c>
    </row>
    <row r="736" spans="2:5">
      <c r="D736" t="s">
        <v>2283</v>
      </c>
    </row>
    <row r="737" spans="3:6">
      <c r="D737" t="s">
        <v>2284</v>
      </c>
      <c r="E737" t="s">
        <v>2285</v>
      </c>
    </row>
    <row r="738" spans="3:6">
      <c r="E738" t="s">
        <v>2286</v>
      </c>
    </row>
    <row r="739" spans="3:6">
      <c r="E739" t="s">
        <v>2287</v>
      </c>
    </row>
    <row r="740" spans="3:6">
      <c r="F740" t="s">
        <v>2288</v>
      </c>
    </row>
    <row r="741" spans="3:6">
      <c r="C741" t="s">
        <v>2289</v>
      </c>
    </row>
    <row r="742" spans="3:6">
      <c r="C742" t="s">
        <v>2290</v>
      </c>
    </row>
    <row r="743" spans="3:6">
      <c r="D743" t="s">
        <v>2291</v>
      </c>
    </row>
    <row r="744" spans="3:6">
      <c r="C744" t="s">
        <v>2292</v>
      </c>
    </row>
    <row r="745" spans="3:6">
      <c r="D745" t="s">
        <v>2293</v>
      </c>
    </row>
    <row r="746" spans="3:6">
      <c r="D746" t="s">
        <v>2294</v>
      </c>
      <c r="F746" t="s">
        <v>2295</v>
      </c>
    </row>
    <row r="747" spans="3:6">
      <c r="D747" t="s">
        <v>2296</v>
      </c>
    </row>
    <row r="748" spans="3:6">
      <c r="C748" t="s">
        <v>2297</v>
      </c>
    </row>
    <row r="749" spans="3:6">
      <c r="C749" t="s">
        <v>2298</v>
      </c>
    </row>
    <row r="750" spans="3:6">
      <c r="C750" t="s">
        <v>2299</v>
      </c>
    </row>
    <row r="751" spans="3:6">
      <c r="C751" t="s">
        <v>2300</v>
      </c>
    </row>
    <row r="752" spans="3:6">
      <c r="D752" t="s">
        <v>2301</v>
      </c>
    </row>
    <row r="753" spans="2:6">
      <c r="E753" t="s">
        <v>2302</v>
      </c>
    </row>
    <row r="754" spans="2:6">
      <c r="E754" s="148">
        <v>2017</v>
      </c>
      <c r="F754" t="s">
        <v>2303</v>
      </c>
    </row>
    <row r="755" spans="2:6">
      <c r="E755" s="148">
        <v>2018</v>
      </c>
      <c r="F755" t="s">
        <v>2304</v>
      </c>
    </row>
    <row r="756" spans="2:6">
      <c r="E756" s="370">
        <v>43617</v>
      </c>
      <c r="F756" t="s">
        <v>2312</v>
      </c>
    </row>
    <row r="757" spans="2:6">
      <c r="E757" s="148" t="s">
        <v>2305</v>
      </c>
    </row>
    <row r="758" spans="2:6">
      <c r="C758" t="s">
        <v>2306</v>
      </c>
      <c r="D758">
        <v>28</v>
      </c>
      <c r="E758" s="148" t="s">
        <v>2307</v>
      </c>
      <c r="F758">
        <f>0.4*D758</f>
        <v>11.200000000000001</v>
      </c>
    </row>
    <row r="759" spans="2:6">
      <c r="C759" t="s">
        <v>2308</v>
      </c>
      <c r="E759" s="148"/>
    </row>
    <row r="760" spans="2:6">
      <c r="C760" s="148" t="s">
        <v>2309</v>
      </c>
      <c r="D760">
        <v>20</v>
      </c>
      <c r="E760" s="148"/>
    </row>
    <row r="761" spans="2:6">
      <c r="C761" s="148" t="s">
        <v>2310</v>
      </c>
      <c r="E761" s="148"/>
    </row>
    <row r="762" spans="2:6">
      <c r="C762" s="148"/>
      <c r="D762" t="s">
        <v>2311</v>
      </c>
      <c r="E762" s="148"/>
    </row>
    <row r="763" spans="2:6">
      <c r="C763" s="148" t="s">
        <v>2313</v>
      </c>
      <c r="E763" s="148"/>
    </row>
    <row r="764" spans="2:6">
      <c r="B764" t="s">
        <v>2314</v>
      </c>
      <c r="C764" s="148"/>
      <c r="E764" s="148"/>
    </row>
    <row r="765" spans="2:6">
      <c r="C765" s="148" t="s">
        <v>2315</v>
      </c>
      <c r="E765" s="148"/>
    </row>
    <row r="766" spans="2:6">
      <c r="C766" s="148" t="s">
        <v>2316</v>
      </c>
      <c r="E766" s="148"/>
    </row>
    <row r="767" spans="2:6">
      <c r="C767" s="148"/>
      <c r="E767" s="148"/>
    </row>
    <row r="768" spans="2:6">
      <c r="C768" s="148" t="s">
        <v>2317</v>
      </c>
      <c r="E768" s="148"/>
    </row>
    <row r="769" spans="2:5">
      <c r="C769" s="148" t="s">
        <v>2318</v>
      </c>
      <c r="E769" s="148"/>
    </row>
    <row r="770" spans="2:5">
      <c r="C770" s="148"/>
      <c r="D770" t="s">
        <v>2320</v>
      </c>
      <c r="E770" s="148" t="s">
        <v>2319</v>
      </c>
    </row>
    <row r="771" spans="2:5">
      <c r="C771" s="148"/>
      <c r="D771" t="s">
        <v>2321</v>
      </c>
      <c r="E771" s="148"/>
    </row>
    <row r="772" spans="2:5">
      <c r="C772" s="148" t="s">
        <v>2322</v>
      </c>
      <c r="E772" s="148"/>
    </row>
    <row r="773" spans="2:5">
      <c r="B773" t="s">
        <v>1487</v>
      </c>
      <c r="C773" s="148"/>
      <c r="E773" s="148"/>
    </row>
    <row r="774" spans="2:5">
      <c r="C774" s="148" t="s">
        <v>2354</v>
      </c>
      <c r="E774" s="148"/>
    </row>
    <row r="775" spans="2:5">
      <c r="C775" s="148" t="s">
        <v>2355</v>
      </c>
      <c r="E775" s="148"/>
    </row>
    <row r="776" spans="2:5">
      <c r="C776" s="148" t="s">
        <v>2356</v>
      </c>
      <c r="E776" s="148"/>
    </row>
    <row r="777" spans="2:5">
      <c r="C777" s="148" t="s">
        <v>2357</v>
      </c>
      <c r="E777" s="148"/>
    </row>
    <row r="778" spans="2:5">
      <c r="C778" s="148" t="s">
        <v>2358</v>
      </c>
      <c r="E778" s="148"/>
    </row>
    <row r="779" spans="2:5">
      <c r="C779" s="148" t="s">
        <v>2359</v>
      </c>
      <c r="E779" s="148"/>
    </row>
    <row r="780" spans="2:5">
      <c r="C780" s="148"/>
      <c r="D780" t="s">
        <v>2361</v>
      </c>
      <c r="E780" s="148"/>
    </row>
    <row r="781" spans="2:5">
      <c r="D781" s="148" t="s">
        <v>2360</v>
      </c>
      <c r="E781" s="148"/>
    </row>
    <row r="782" spans="2:5">
      <c r="D782" s="148"/>
      <c r="E782" s="148" t="s">
        <v>2362</v>
      </c>
    </row>
    <row r="783" spans="2:5">
      <c r="C783" s="148"/>
      <c r="E783" s="148" t="s">
        <v>2363</v>
      </c>
    </row>
    <row r="784" spans="2:5">
      <c r="B784" s="17" t="s">
        <v>30</v>
      </c>
    </row>
    <row r="785" spans="2:4">
      <c r="C785" t="s">
        <v>2323</v>
      </c>
    </row>
    <row r="786" spans="2:4">
      <c r="C786" t="s">
        <v>2324</v>
      </c>
    </row>
    <row r="787" spans="2:4">
      <c r="D787" t="s">
        <v>2325</v>
      </c>
    </row>
    <row r="788" spans="2:4">
      <c r="C788" t="s">
        <v>2326</v>
      </c>
    </row>
    <row r="789" spans="2:4">
      <c r="C789" t="s">
        <v>2328</v>
      </c>
    </row>
    <row r="790" spans="2:4">
      <c r="C790" t="s">
        <v>2327</v>
      </c>
    </row>
    <row r="792" spans="2:4">
      <c r="C792" t="s">
        <v>2329</v>
      </c>
    </row>
    <row r="793" spans="2:4">
      <c r="D793" t="s">
        <v>2330</v>
      </c>
    </row>
    <row r="794" spans="2:4">
      <c r="C794" t="s">
        <v>2331</v>
      </c>
    </row>
    <row r="795" spans="2:4">
      <c r="B795" t="s">
        <v>1439</v>
      </c>
      <c r="C795" t="s">
        <v>38</v>
      </c>
    </row>
    <row r="796" spans="2:4">
      <c r="C796" t="s">
        <v>1647</v>
      </c>
      <c r="D796" t="s">
        <v>2332</v>
      </c>
    </row>
    <row r="797" spans="2:4">
      <c r="C797" t="s">
        <v>1186</v>
      </c>
    </row>
    <row r="798" spans="2:4">
      <c r="D798" t="s">
        <v>2333</v>
      </c>
    </row>
    <row r="799" spans="2:4">
      <c r="D799" t="s">
        <v>2334</v>
      </c>
    </row>
    <row r="800" spans="2:4">
      <c r="D800" t="s">
        <v>2335</v>
      </c>
    </row>
    <row r="801" spans="2:6">
      <c r="D801" t="s">
        <v>2341</v>
      </c>
    </row>
    <row r="802" spans="2:6">
      <c r="C802" t="s">
        <v>2343</v>
      </c>
    </row>
    <row r="804" spans="2:6">
      <c r="C804" t="s">
        <v>2336</v>
      </c>
    </row>
    <row r="805" spans="2:6">
      <c r="C805" t="s">
        <v>2337</v>
      </c>
    </row>
    <row r="806" spans="2:6">
      <c r="D806" t="s">
        <v>2338</v>
      </c>
    </row>
    <row r="807" spans="2:6">
      <c r="D807" t="s">
        <v>2339</v>
      </c>
    </row>
    <row r="808" spans="2:6">
      <c r="D808" t="s">
        <v>2340</v>
      </c>
    </row>
    <row r="809" spans="2:6">
      <c r="C809" t="s">
        <v>2342</v>
      </c>
    </row>
    <row r="810" spans="2:6">
      <c r="B810" t="s">
        <v>2344</v>
      </c>
    </row>
    <row r="811" spans="2:6">
      <c r="C811" t="s">
        <v>2350</v>
      </c>
    </row>
    <row r="812" spans="2:6">
      <c r="C812" t="s">
        <v>2351</v>
      </c>
    </row>
    <row r="813" spans="2:6">
      <c r="C813" t="s">
        <v>2353</v>
      </c>
    </row>
    <row r="814" spans="2:6">
      <c r="C814" t="s">
        <v>2352</v>
      </c>
      <c r="F814" s="352" t="s">
        <v>2345</v>
      </c>
    </row>
    <row r="815" spans="2:6">
      <c r="E815">
        <v>2019</v>
      </c>
      <c r="F815" t="s">
        <v>2346</v>
      </c>
    </row>
    <row r="816" spans="2:6">
      <c r="E816">
        <v>2020</v>
      </c>
      <c r="F816" t="s">
        <v>2347</v>
      </c>
    </row>
    <row r="817" spans="2:6">
      <c r="E817">
        <v>2021</v>
      </c>
      <c r="F817" t="s">
        <v>2348</v>
      </c>
    </row>
    <row r="818" spans="2:6">
      <c r="E818">
        <v>2024</v>
      </c>
      <c r="F818" t="s">
        <v>2349</v>
      </c>
    </row>
    <row r="819" spans="2:6">
      <c r="B819" t="s">
        <v>2364</v>
      </c>
    </row>
    <row r="820" spans="2:6">
      <c r="C820" t="s">
        <v>2365</v>
      </c>
    </row>
    <row r="821" spans="2:6">
      <c r="C821" t="s">
        <v>2366</v>
      </c>
    </row>
    <row r="822" spans="2:6">
      <c r="C822" t="s">
        <v>2367</v>
      </c>
    </row>
    <row r="823" spans="2:6">
      <c r="C823" t="s">
        <v>2368</v>
      </c>
    </row>
    <row r="824" spans="2:6">
      <c r="C824" t="s">
        <v>2369</v>
      </c>
    </row>
    <row r="825" spans="2:6">
      <c r="D825" t="s">
        <v>2370</v>
      </c>
    </row>
    <row r="826" spans="2:6">
      <c r="D826" t="s">
        <v>2371</v>
      </c>
    </row>
    <row r="827" spans="2:6">
      <c r="D827" t="s">
        <v>2372</v>
      </c>
    </row>
    <row r="828" spans="2:6">
      <c r="B828" t="s">
        <v>1145</v>
      </c>
    </row>
    <row r="829" spans="2:6">
      <c r="C829" t="s">
        <v>2373</v>
      </c>
    </row>
    <row r="830" spans="2:6">
      <c r="C830" t="s">
        <v>2374</v>
      </c>
    </row>
    <row r="831" spans="2:6">
      <c r="C831" t="s">
        <v>2375</v>
      </c>
    </row>
    <row r="832" spans="2:6">
      <c r="C832" t="s">
        <v>2376</v>
      </c>
    </row>
    <row r="834" spans="2:6">
      <c r="C834" t="s">
        <v>2249</v>
      </c>
    </row>
    <row r="835" spans="2:6">
      <c r="D835" t="s">
        <v>2255</v>
      </c>
    </row>
    <row r="836" spans="2:6">
      <c r="E836" t="s">
        <v>2256</v>
      </c>
    </row>
    <row r="837" spans="2:6">
      <c r="D837" t="s">
        <v>2257</v>
      </c>
    </row>
    <row r="838" spans="2:6">
      <c r="C838" t="s">
        <v>2251</v>
      </c>
      <c r="F838" s="57">
        <v>-0.06</v>
      </c>
    </row>
    <row r="839" spans="2:6">
      <c r="D839" t="s">
        <v>267</v>
      </c>
      <c r="F839" s="57">
        <v>-7.0000000000000007E-2</v>
      </c>
    </row>
    <row r="840" spans="2:6">
      <c r="E840" s="57" t="s">
        <v>2253</v>
      </c>
      <c r="F840" s="426" t="s">
        <v>2254</v>
      </c>
    </row>
    <row r="841" spans="2:6">
      <c r="D841" t="s">
        <v>146</v>
      </c>
      <c r="F841" s="426" t="s">
        <v>2252</v>
      </c>
    </row>
    <row r="842" spans="2:6">
      <c r="B842" t="s">
        <v>2250</v>
      </c>
    </row>
    <row r="843" spans="2:6">
      <c r="B843" t="s">
        <v>1439</v>
      </c>
    </row>
    <row r="844" spans="2:6">
      <c r="C844" t="s">
        <v>2260</v>
      </c>
    </row>
    <row r="845" spans="2:6">
      <c r="B845" t="s">
        <v>2261</v>
      </c>
    </row>
    <row r="847" spans="2:6">
      <c r="B847" s="17" t="s">
        <v>30</v>
      </c>
    </row>
    <row r="848" spans="2:6">
      <c r="B848" t="s">
        <v>2258</v>
      </c>
    </row>
    <row r="850" spans="2:4">
      <c r="B850" t="s">
        <v>2259</v>
      </c>
    </row>
    <row r="851" spans="2:4">
      <c r="C851" t="s">
        <v>2262</v>
      </c>
    </row>
    <row r="856" spans="2:4">
      <c r="B856" s="408" t="s">
        <v>2203</v>
      </c>
    </row>
    <row r="858" spans="2:4">
      <c r="B858" s="249" t="s">
        <v>2228</v>
      </c>
    </row>
    <row r="859" spans="2:4">
      <c r="B859" t="s">
        <v>132</v>
      </c>
      <c r="C859">
        <v>430</v>
      </c>
    </row>
    <row r="860" spans="2:4">
      <c r="B860" s="59" t="s">
        <v>2224</v>
      </c>
      <c r="D860">
        <v>210</v>
      </c>
    </row>
    <row r="861" spans="2:4">
      <c r="B861" s="59" t="s">
        <v>2227</v>
      </c>
      <c r="D861">
        <v>90</v>
      </c>
    </row>
    <row r="862" spans="2:4">
      <c r="B862" s="59" t="s">
        <v>2226</v>
      </c>
      <c r="D862">
        <v>130</v>
      </c>
    </row>
    <row r="863" spans="2:4">
      <c r="B863" t="s">
        <v>30</v>
      </c>
      <c r="C863">
        <v>170</v>
      </c>
    </row>
    <row r="864" spans="2:4">
      <c r="B864" s="59" t="s">
        <v>2224</v>
      </c>
      <c r="D864">
        <v>140</v>
      </c>
    </row>
    <row r="865" spans="2:4">
      <c r="B865" s="425" t="s">
        <v>2225</v>
      </c>
      <c r="C865" s="108"/>
      <c r="D865">
        <v>30</v>
      </c>
    </row>
    <row r="866" spans="2:4">
      <c r="C866">
        <f>C859+C863</f>
        <v>600</v>
      </c>
    </row>
    <row r="868" spans="2:4">
      <c r="B868" t="s">
        <v>2204</v>
      </c>
    </row>
    <row r="869" spans="2:4">
      <c r="B869" t="s">
        <v>1387</v>
      </c>
      <c r="C869" t="s">
        <v>2207</v>
      </c>
    </row>
    <row r="870" spans="2:4">
      <c r="C870" t="s">
        <v>2221</v>
      </c>
    </row>
    <row r="871" spans="2:4">
      <c r="C871" t="s">
        <v>2205</v>
      </c>
    </row>
    <row r="872" spans="2:4">
      <c r="C872" t="s">
        <v>2208</v>
      </c>
    </row>
    <row r="873" spans="2:4">
      <c r="B873" t="s">
        <v>2206</v>
      </c>
    </row>
    <row r="874" spans="2:4">
      <c r="C874" t="s">
        <v>2209</v>
      </c>
    </row>
    <row r="875" spans="2:4">
      <c r="C875" t="s">
        <v>2210</v>
      </c>
    </row>
    <row r="876" spans="2:4">
      <c r="C876" t="s">
        <v>133</v>
      </c>
      <c r="D876" t="s">
        <v>2211</v>
      </c>
    </row>
    <row r="877" spans="2:4">
      <c r="C877" t="s">
        <v>2212</v>
      </c>
    </row>
    <row r="878" spans="2:4">
      <c r="B878" t="s">
        <v>2213</v>
      </c>
      <c r="C878" t="s">
        <v>2214</v>
      </c>
    </row>
    <row r="879" spans="2:4">
      <c r="C879" t="s">
        <v>2215</v>
      </c>
      <c r="D879" t="s">
        <v>2216</v>
      </c>
    </row>
    <row r="880" spans="2:4">
      <c r="C880" t="s">
        <v>2217</v>
      </c>
      <c r="D880" t="s">
        <v>2218</v>
      </c>
    </row>
    <row r="881" spans="2:7">
      <c r="C881" t="s">
        <v>2219</v>
      </c>
      <c r="D881" t="s">
        <v>2220</v>
      </c>
    </row>
    <row r="882" spans="2:7">
      <c r="B882" t="s">
        <v>2222</v>
      </c>
    </row>
    <row r="883" spans="2:7">
      <c r="C883" t="s">
        <v>1387</v>
      </c>
    </row>
    <row r="884" spans="2:7">
      <c r="C884" t="s">
        <v>1386</v>
      </c>
    </row>
    <row r="885" spans="2:7">
      <c r="C885" s="108" t="s">
        <v>2206</v>
      </c>
      <c r="D885" s="108"/>
    </row>
    <row r="886" spans="2:7">
      <c r="C886" t="s">
        <v>68</v>
      </c>
      <c r="D886">
        <v>100</v>
      </c>
    </row>
    <row r="887" spans="2:7">
      <c r="C887" t="s">
        <v>2223</v>
      </c>
      <c r="D887">
        <v>850</v>
      </c>
    </row>
    <row r="889" spans="2:7">
      <c r="B889" t="s">
        <v>2229</v>
      </c>
    </row>
    <row r="890" spans="2:7">
      <c r="B890" t="s">
        <v>2230</v>
      </c>
    </row>
    <row r="891" spans="2:7">
      <c r="B891" s="108"/>
      <c r="C891" s="141">
        <v>2019</v>
      </c>
      <c r="D891" s="108"/>
      <c r="E891" t="s">
        <v>2468</v>
      </c>
    </row>
    <row r="892" spans="2:7">
      <c r="B892" t="s">
        <v>132</v>
      </c>
      <c r="C892" s="426" t="s">
        <v>2231</v>
      </c>
      <c r="D892" s="57">
        <v>-0.8</v>
      </c>
      <c r="E892">
        <v>8.6999999999999993</v>
      </c>
      <c r="F892">
        <v>1.8</v>
      </c>
      <c r="G892" s="57">
        <f>F892/E892-1</f>
        <v>-0.7931034482758621</v>
      </c>
    </row>
    <row r="893" spans="2:7">
      <c r="C893" s="426"/>
      <c r="D893" s="57"/>
      <c r="E893">
        <f>E892/700</f>
        <v>1.2428571428571428E-2</v>
      </c>
      <c r="G893" s="57"/>
    </row>
    <row r="894" spans="2:7">
      <c r="B894" t="s">
        <v>30</v>
      </c>
      <c r="C894" s="426" t="s">
        <v>2232</v>
      </c>
      <c r="D894" s="57">
        <v>-0.56000000000000005</v>
      </c>
    </row>
    <row r="896" spans="2:7">
      <c r="B896" s="249" t="s">
        <v>2233</v>
      </c>
    </row>
    <row r="897" spans="2:4">
      <c r="B897" t="s">
        <v>2235</v>
      </c>
      <c r="C897">
        <v>355.7</v>
      </c>
    </row>
    <row r="898" spans="2:4">
      <c r="B898" t="s">
        <v>2234</v>
      </c>
      <c r="C898">
        <v>332.1</v>
      </c>
    </row>
    <row r="900" spans="2:4">
      <c r="C900" s="178" t="s">
        <v>2203</v>
      </c>
    </row>
    <row r="901" spans="2:4">
      <c r="B901" t="s">
        <v>4</v>
      </c>
      <c r="C901">
        <v>19.7</v>
      </c>
    </row>
    <row r="903" spans="2:4">
      <c r="B903" s="249" t="s">
        <v>132</v>
      </c>
    </row>
    <row r="904" spans="2:4">
      <c r="B904" t="s">
        <v>2236</v>
      </c>
      <c r="C904" t="s">
        <v>2237</v>
      </c>
    </row>
    <row r="905" spans="2:4">
      <c r="C905" t="s">
        <v>2238</v>
      </c>
    </row>
    <row r="906" spans="2:4">
      <c r="B906" s="249" t="s">
        <v>30</v>
      </c>
    </row>
    <row r="907" spans="2:4">
      <c r="B907" t="s">
        <v>2239</v>
      </c>
      <c r="C907" s="178" t="s">
        <v>2243</v>
      </c>
    </row>
    <row r="908" spans="2:4">
      <c r="C908" s="427" t="s">
        <v>2240</v>
      </c>
      <c r="D908" t="s">
        <v>2241</v>
      </c>
    </row>
    <row r="909" spans="2:4">
      <c r="C909">
        <v>20</v>
      </c>
      <c r="D909" t="s">
        <v>2242</v>
      </c>
    </row>
    <row r="910" spans="2:4">
      <c r="B910" t="s">
        <v>399</v>
      </c>
    </row>
    <row r="911" spans="2:4">
      <c r="C911" s="141" t="s">
        <v>2052</v>
      </c>
      <c r="D911" s="141" t="s">
        <v>2203</v>
      </c>
    </row>
    <row r="912" spans="2:4">
      <c r="B912" t="s">
        <v>2244</v>
      </c>
      <c r="C912">
        <v>8.25</v>
      </c>
      <c r="D912">
        <v>7.52</v>
      </c>
    </row>
    <row r="913" spans="2:4">
      <c r="B913" t="s">
        <v>2245</v>
      </c>
      <c r="D913">
        <f>C912-D912</f>
        <v>0.73000000000000043</v>
      </c>
    </row>
    <row r="914" spans="2:4">
      <c r="D914" s="57">
        <f>D913/C912</f>
        <v>8.8484848484848541E-2</v>
      </c>
    </row>
    <row r="915" spans="2:4">
      <c r="D915" s="57"/>
    </row>
    <row r="916" spans="2:4">
      <c r="B916" s="408" t="s">
        <v>2065</v>
      </c>
    </row>
    <row r="918" spans="2:4">
      <c r="B918" t="s">
        <v>2191</v>
      </c>
    </row>
    <row r="919" spans="2:4">
      <c r="B919" t="s">
        <v>2192</v>
      </c>
    </row>
    <row r="921" spans="2:4">
      <c r="B921" t="s">
        <v>2193</v>
      </c>
      <c r="C921" t="s">
        <v>2195</v>
      </c>
    </row>
    <row r="922" spans="2:4">
      <c r="C922" t="s">
        <v>30</v>
      </c>
      <c r="D922" t="s">
        <v>2194</v>
      </c>
    </row>
    <row r="923" spans="2:4">
      <c r="C923" t="s">
        <v>132</v>
      </c>
      <c r="D923">
        <f>630-155</f>
        <v>475</v>
      </c>
    </row>
    <row r="924" spans="2:4">
      <c r="C924" t="s">
        <v>2196</v>
      </c>
    </row>
    <row r="925" spans="2:4">
      <c r="C925" t="s">
        <v>2197</v>
      </c>
    </row>
    <row r="926" spans="2:4">
      <c r="B926" t="s">
        <v>2199</v>
      </c>
    </row>
    <row r="927" spans="2:4">
      <c r="C927" t="s">
        <v>2198</v>
      </c>
    </row>
    <row r="928" spans="2:4">
      <c r="B928" t="s">
        <v>2200</v>
      </c>
    </row>
    <row r="929" spans="2:3">
      <c r="C929" t="s">
        <v>2201</v>
      </c>
    </row>
    <row r="930" spans="2:3">
      <c r="C930" t="s">
        <v>2202</v>
      </c>
    </row>
    <row r="932" spans="2:3">
      <c r="B932" s="408" t="s">
        <v>2064</v>
      </c>
    </row>
    <row r="934" spans="2:3">
      <c r="B934" s="352" t="s">
        <v>132</v>
      </c>
    </row>
    <row r="935" spans="2:3">
      <c r="B935" t="s">
        <v>2118</v>
      </c>
    </row>
    <row r="936" spans="2:3">
      <c r="B936" t="s">
        <v>2119</v>
      </c>
    </row>
    <row r="937" spans="2:3">
      <c r="B937" t="s">
        <v>2120</v>
      </c>
    </row>
    <row r="938" spans="2:3">
      <c r="C938" t="s">
        <v>2122</v>
      </c>
    </row>
    <row r="939" spans="2:3">
      <c r="B939" t="s">
        <v>2121</v>
      </c>
    </row>
    <row r="940" spans="2:3">
      <c r="B940" t="s">
        <v>2123</v>
      </c>
    </row>
    <row r="941" spans="2:3">
      <c r="C941" t="s">
        <v>2124</v>
      </c>
    </row>
    <row r="942" spans="2:3">
      <c r="B942" t="s">
        <v>2125</v>
      </c>
    </row>
    <row r="943" spans="2:3">
      <c r="B943" t="s">
        <v>2132</v>
      </c>
    </row>
    <row r="944" spans="2:3">
      <c r="B944" t="s">
        <v>2133</v>
      </c>
    </row>
    <row r="945" spans="2:7">
      <c r="B945" t="s">
        <v>2134</v>
      </c>
    </row>
    <row r="946" spans="2:7">
      <c r="C946" t="s">
        <v>2135</v>
      </c>
    </row>
    <row r="947" spans="2:7">
      <c r="C947" t="s">
        <v>2136</v>
      </c>
    </row>
    <row r="948" spans="2:7">
      <c r="C948" t="s">
        <v>2137</v>
      </c>
    </row>
    <row r="949" spans="2:7">
      <c r="C949" t="s">
        <v>2138</v>
      </c>
    </row>
    <row r="950" spans="2:7">
      <c r="B950" t="s">
        <v>2139</v>
      </c>
    </row>
    <row r="952" spans="2:7">
      <c r="B952" s="108"/>
      <c r="C952" s="141" t="s">
        <v>2052</v>
      </c>
      <c r="D952" s="141" t="s">
        <v>2053</v>
      </c>
      <c r="E952" s="141" t="s">
        <v>2064</v>
      </c>
      <c r="F952" s="141" t="s">
        <v>2065</v>
      </c>
    </row>
    <row r="953" spans="2:7">
      <c r="B953" t="s">
        <v>2129</v>
      </c>
      <c r="C953">
        <v>190</v>
      </c>
      <c r="D953">
        <v>222</v>
      </c>
      <c r="E953">
        <v>231</v>
      </c>
      <c r="F953">
        <v>223</v>
      </c>
    </row>
    <row r="954" spans="2:7">
      <c r="B954" t="s">
        <v>2126</v>
      </c>
      <c r="C954">
        <v>17.600000000000001</v>
      </c>
      <c r="D954">
        <v>27.8</v>
      </c>
      <c r="E954">
        <v>36.9</v>
      </c>
      <c r="F954">
        <v>46.2</v>
      </c>
    </row>
    <row r="955" spans="2:7">
      <c r="B955" t="s">
        <v>2127</v>
      </c>
      <c r="C955" s="424">
        <v>2</v>
      </c>
      <c r="D955" s="424">
        <v>2</v>
      </c>
      <c r="E955" s="424">
        <v>2</v>
      </c>
      <c r="F955" s="424">
        <v>2</v>
      </c>
    </row>
    <row r="956" spans="2:7">
      <c r="B956" t="s">
        <v>0</v>
      </c>
      <c r="C956" s="15">
        <f>C954/C955</f>
        <v>8.8000000000000007</v>
      </c>
      <c r="D956" s="15">
        <f>D954/D955</f>
        <v>13.9</v>
      </c>
      <c r="E956" s="15">
        <f>E954/E955</f>
        <v>18.45</v>
      </c>
      <c r="F956" s="15">
        <f>F954/F955</f>
        <v>23.1</v>
      </c>
    </row>
    <row r="957" spans="2:7">
      <c r="B957" s="108" t="s">
        <v>2128</v>
      </c>
      <c r="C957" s="244">
        <f>C956/C953</f>
        <v>4.6315789473684213E-2</v>
      </c>
      <c r="D957" s="244">
        <f>D956/D953</f>
        <v>6.2612612612612611E-2</v>
      </c>
      <c r="E957" s="244">
        <f>E956/E953</f>
        <v>7.9870129870129869E-2</v>
      </c>
      <c r="F957" s="244">
        <f>F956/F953</f>
        <v>0.10358744394618835</v>
      </c>
    </row>
    <row r="958" spans="2:7">
      <c r="E958" s="57"/>
      <c r="F958" s="57"/>
      <c r="G958" s="57"/>
    </row>
    <row r="959" spans="2:7">
      <c r="B959" s="352" t="s">
        <v>30</v>
      </c>
      <c r="E959" s="57"/>
      <c r="F959" s="57"/>
      <c r="G959" s="57"/>
    </row>
    <row r="960" spans="2:7">
      <c r="B960" t="s">
        <v>2130</v>
      </c>
      <c r="E960" s="57"/>
      <c r="F960" s="57"/>
      <c r="G960" s="57"/>
    </row>
    <row r="961" spans="2:7">
      <c r="B961" t="s">
        <v>2131</v>
      </c>
      <c r="E961" s="57"/>
      <c r="F961" s="57"/>
      <c r="G961" s="57"/>
    </row>
    <row r="962" spans="2:7">
      <c r="E962" s="57"/>
      <c r="F962" s="57"/>
      <c r="G962" s="57"/>
    </row>
    <row r="963" spans="2:7">
      <c r="B963" s="17" t="s">
        <v>876</v>
      </c>
      <c r="E963" s="57"/>
      <c r="F963" s="57"/>
      <c r="G963" s="57"/>
    </row>
    <row r="964" spans="2:7">
      <c r="B964" t="s">
        <v>2140</v>
      </c>
      <c r="E964" s="57"/>
      <c r="F964" s="57"/>
      <c r="G964" s="57"/>
    </row>
    <row r="965" spans="2:7">
      <c r="E965" s="57"/>
      <c r="F965" s="57"/>
      <c r="G965" s="57"/>
    </row>
    <row r="966" spans="2:7">
      <c r="B966" t="s">
        <v>2141</v>
      </c>
      <c r="E966" s="57"/>
      <c r="F966" s="57"/>
      <c r="G966" s="57"/>
    </row>
    <row r="967" spans="2:7">
      <c r="E967" s="57"/>
      <c r="F967" s="57"/>
      <c r="G967" s="57"/>
    </row>
    <row r="968" spans="2:7">
      <c r="B968" t="s">
        <v>2142</v>
      </c>
      <c r="E968" s="57"/>
      <c r="F968" s="57"/>
      <c r="G968" s="57"/>
    </row>
    <row r="969" spans="2:7">
      <c r="C969" t="s">
        <v>2145</v>
      </c>
      <c r="E969" s="57"/>
      <c r="F969" s="57"/>
      <c r="G969" s="57"/>
    </row>
    <row r="970" spans="2:7">
      <c r="D970" t="s">
        <v>2143</v>
      </c>
      <c r="E970" s="57"/>
      <c r="F970" s="57"/>
      <c r="G970" s="57"/>
    </row>
    <row r="971" spans="2:7">
      <c r="C971" t="s">
        <v>2144</v>
      </c>
      <c r="E971" s="57"/>
      <c r="F971" s="57"/>
      <c r="G971" s="57"/>
    </row>
    <row r="972" spans="2:7">
      <c r="C972" t="s">
        <v>2146</v>
      </c>
      <c r="E972" s="57"/>
      <c r="F972" s="57"/>
      <c r="G972" s="57"/>
    </row>
    <row r="973" spans="2:7">
      <c r="D973" t="s">
        <v>2147</v>
      </c>
      <c r="E973" s="57"/>
      <c r="F973" s="57"/>
      <c r="G973" s="57"/>
    </row>
    <row r="974" spans="2:7">
      <c r="D974" t="s">
        <v>2148</v>
      </c>
      <c r="E974" s="57"/>
      <c r="F974" s="57"/>
      <c r="G974" s="57"/>
    </row>
    <row r="975" spans="2:7">
      <c r="B975" t="s">
        <v>2149</v>
      </c>
      <c r="E975" s="57"/>
      <c r="F975" s="57"/>
      <c r="G975" s="57"/>
    </row>
    <row r="976" spans="2:7">
      <c r="C976" t="s">
        <v>2150</v>
      </c>
      <c r="E976" s="57"/>
      <c r="F976" s="57"/>
      <c r="G976" s="57"/>
    </row>
    <row r="977" spans="1:7">
      <c r="B977" t="s">
        <v>2152</v>
      </c>
      <c r="E977" s="57"/>
      <c r="F977" s="57"/>
      <c r="G977" s="57"/>
    </row>
    <row r="978" spans="1:7">
      <c r="C978" t="s">
        <v>2151</v>
      </c>
      <c r="E978" s="57"/>
      <c r="F978" s="57"/>
      <c r="G978" s="57"/>
    </row>
    <row r="979" spans="1:7">
      <c r="B979" t="s">
        <v>1571</v>
      </c>
      <c r="E979" s="57"/>
      <c r="F979" s="57"/>
      <c r="G979" s="57"/>
    </row>
    <row r="980" spans="1:7">
      <c r="A980" t="s">
        <v>38</v>
      </c>
      <c r="C980" t="s">
        <v>2153</v>
      </c>
      <c r="E980" s="57"/>
      <c r="F980" s="57"/>
      <c r="G980" s="57"/>
    </row>
    <row r="981" spans="1:7">
      <c r="C981" t="s">
        <v>2154</v>
      </c>
      <c r="E981" s="57"/>
      <c r="F981" s="57"/>
      <c r="G981" s="57"/>
    </row>
    <row r="982" spans="1:7">
      <c r="B982" t="s">
        <v>2155</v>
      </c>
      <c r="E982" s="57"/>
      <c r="F982" s="57"/>
      <c r="G982" s="57"/>
    </row>
    <row r="983" spans="1:7">
      <c r="C983" t="s">
        <v>2156</v>
      </c>
      <c r="E983" s="57"/>
      <c r="F983" s="57"/>
      <c r="G983" s="57"/>
    </row>
    <row r="984" spans="1:7">
      <c r="D984" t="s">
        <v>2157</v>
      </c>
      <c r="E984" s="57"/>
      <c r="F984" s="57"/>
      <c r="G984" s="57"/>
    </row>
    <row r="985" spans="1:7">
      <c r="C985" t="s">
        <v>2158</v>
      </c>
      <c r="E985" s="57"/>
      <c r="F985" s="57"/>
      <c r="G985" s="57"/>
    </row>
    <row r="986" spans="1:7">
      <c r="C986" t="s">
        <v>2159</v>
      </c>
      <c r="E986" s="57"/>
      <c r="F986" s="57"/>
      <c r="G986" s="57"/>
    </row>
    <row r="987" spans="1:7">
      <c r="C987" t="s">
        <v>2160</v>
      </c>
      <c r="E987" s="57"/>
      <c r="F987" s="57"/>
      <c r="G987" s="57"/>
    </row>
    <row r="988" spans="1:7">
      <c r="C988" t="s">
        <v>2161</v>
      </c>
      <c r="E988" s="57"/>
      <c r="F988" s="57"/>
      <c r="G988" s="57"/>
    </row>
    <row r="989" spans="1:7">
      <c r="D989" t="s">
        <v>2162</v>
      </c>
      <c r="E989" s="57"/>
      <c r="F989" s="57"/>
      <c r="G989" s="57"/>
    </row>
    <row r="990" spans="1:7">
      <c r="B990" t="s">
        <v>2170</v>
      </c>
      <c r="E990" s="57"/>
      <c r="F990" s="57"/>
      <c r="G990" s="57"/>
    </row>
    <row r="991" spans="1:7">
      <c r="C991" t="s">
        <v>2166</v>
      </c>
      <c r="E991" s="57"/>
      <c r="F991" s="57"/>
      <c r="G991" s="57"/>
    </row>
    <row r="992" spans="1:7">
      <c r="C992" t="s">
        <v>2163</v>
      </c>
      <c r="E992" s="57"/>
      <c r="F992" s="57"/>
      <c r="G992" s="57"/>
    </row>
    <row r="993" spans="2:7">
      <c r="D993" t="s">
        <v>2164</v>
      </c>
      <c r="E993" s="57"/>
      <c r="F993" s="57"/>
      <c r="G993" s="57"/>
    </row>
    <row r="994" spans="2:7">
      <c r="C994">
        <v>2020</v>
      </c>
      <c r="D994" t="s">
        <v>2171</v>
      </c>
      <c r="E994" s="57"/>
      <c r="F994" s="57"/>
      <c r="G994" s="57"/>
    </row>
    <row r="995" spans="2:7">
      <c r="D995" t="s">
        <v>132</v>
      </c>
      <c r="E995">
        <v>3.5</v>
      </c>
      <c r="F995" s="57"/>
      <c r="G995" s="57"/>
    </row>
    <row r="996" spans="2:7">
      <c r="E996" s="178" t="s">
        <v>2165</v>
      </c>
      <c r="F996" s="57"/>
      <c r="G996" s="57"/>
    </row>
    <row r="997" spans="2:7">
      <c r="C997" t="s">
        <v>2167</v>
      </c>
      <c r="E997" s="57"/>
      <c r="F997" s="57"/>
      <c r="G997" s="57"/>
    </row>
    <row r="998" spans="2:7">
      <c r="D998" t="s">
        <v>2168</v>
      </c>
      <c r="E998" s="57"/>
      <c r="F998" s="57"/>
      <c r="G998" s="57"/>
    </row>
    <row r="999" spans="2:7">
      <c r="D999" t="s">
        <v>2172</v>
      </c>
      <c r="E999" s="57"/>
      <c r="F999" s="57"/>
      <c r="G999" s="57"/>
    </row>
    <row r="1000" spans="2:7">
      <c r="C1000" t="s">
        <v>2169</v>
      </c>
      <c r="E1000" s="57"/>
      <c r="F1000" s="57"/>
      <c r="G1000" s="57"/>
    </row>
    <row r="1001" spans="2:7">
      <c r="B1001" t="s">
        <v>2173</v>
      </c>
      <c r="E1001" s="57"/>
      <c r="F1001" s="57"/>
      <c r="G1001" s="57"/>
    </row>
    <row r="1002" spans="2:7">
      <c r="C1002" t="s">
        <v>132</v>
      </c>
      <c r="E1002" s="57"/>
      <c r="F1002" s="57"/>
      <c r="G1002" s="57"/>
    </row>
    <row r="1003" spans="2:7">
      <c r="C1003" t="s">
        <v>2174</v>
      </c>
      <c r="E1003" s="57"/>
      <c r="F1003" s="57"/>
      <c r="G1003" s="57"/>
    </row>
    <row r="1004" spans="2:7">
      <c r="E1004" s="57"/>
      <c r="F1004" s="57"/>
      <c r="G1004" s="57"/>
    </row>
    <row r="1005" spans="2:7">
      <c r="C1005" t="s">
        <v>30</v>
      </c>
      <c r="E1005" s="57"/>
      <c r="F1005" s="57"/>
      <c r="G1005" s="57"/>
    </row>
    <row r="1006" spans="2:7">
      <c r="D1006" t="s">
        <v>2175</v>
      </c>
      <c r="E1006" s="57"/>
      <c r="F1006" s="57"/>
      <c r="G1006" s="57"/>
    </row>
    <row r="1007" spans="2:7">
      <c r="D1007" t="s">
        <v>2176</v>
      </c>
      <c r="E1007" s="57"/>
      <c r="F1007" s="57"/>
      <c r="G1007" s="57"/>
    </row>
    <row r="1008" spans="2:7">
      <c r="B1008" t="s">
        <v>1767</v>
      </c>
      <c r="E1008" s="57"/>
      <c r="F1008" s="57"/>
      <c r="G1008" s="57"/>
    </row>
    <row r="1009" spans="2:7">
      <c r="C1009" t="s">
        <v>2177</v>
      </c>
      <c r="E1009" s="57"/>
      <c r="F1009" s="57"/>
      <c r="G1009" s="57"/>
    </row>
    <row r="1010" spans="2:7">
      <c r="C1010" t="s">
        <v>2178</v>
      </c>
      <c r="E1010" s="57"/>
      <c r="F1010" s="57"/>
      <c r="G1010" s="57"/>
    </row>
    <row r="1011" spans="2:7">
      <c r="D1011" t="s">
        <v>2179</v>
      </c>
      <c r="E1011" s="57"/>
      <c r="F1011" s="57"/>
      <c r="G1011" s="57"/>
    </row>
    <row r="1012" spans="2:7">
      <c r="E1012" s="57" t="s">
        <v>2180</v>
      </c>
      <c r="F1012" s="57"/>
      <c r="G1012" s="57"/>
    </row>
    <row r="1013" spans="2:7">
      <c r="D1013" t="s">
        <v>2181</v>
      </c>
      <c r="E1013" s="57"/>
      <c r="F1013" s="57"/>
      <c r="G1013" s="57"/>
    </row>
    <row r="1014" spans="2:7">
      <c r="E1014" s="57" t="s">
        <v>2182</v>
      </c>
      <c r="F1014" s="57"/>
      <c r="G1014" s="57"/>
    </row>
    <row r="1015" spans="2:7">
      <c r="C1015" t="s">
        <v>2183</v>
      </c>
      <c r="E1015" s="57"/>
      <c r="F1015" s="57"/>
      <c r="G1015" s="57"/>
    </row>
    <row r="1016" spans="2:7">
      <c r="C1016" t="s">
        <v>2186</v>
      </c>
      <c r="E1016" s="57"/>
      <c r="F1016" s="57"/>
      <c r="G1016" s="57"/>
    </row>
    <row r="1017" spans="2:7">
      <c r="E1017" s="57"/>
      <c r="F1017" s="57"/>
      <c r="G1017" s="57"/>
    </row>
    <row r="1018" spans="2:7">
      <c r="C1018" t="s">
        <v>2187</v>
      </c>
      <c r="E1018" s="57"/>
      <c r="F1018" s="57"/>
      <c r="G1018" s="57"/>
    </row>
    <row r="1019" spans="2:7">
      <c r="B1019" t="s">
        <v>2184</v>
      </c>
      <c r="E1019" s="57"/>
      <c r="F1019" s="57"/>
      <c r="G1019" s="57"/>
    </row>
    <row r="1020" spans="2:7">
      <c r="C1020" t="s">
        <v>2185</v>
      </c>
      <c r="E1020" s="57"/>
      <c r="F1020" s="57"/>
      <c r="G1020" s="57"/>
    </row>
    <row r="1021" spans="2:7">
      <c r="B1021" t="s">
        <v>137</v>
      </c>
      <c r="E1021" s="57"/>
      <c r="F1021" s="57"/>
      <c r="G1021" s="57"/>
    </row>
    <row r="1022" spans="2:7">
      <c r="C1022" t="s">
        <v>2188</v>
      </c>
    </row>
    <row r="1023" spans="2:7">
      <c r="C1023" t="s">
        <v>2190</v>
      </c>
    </row>
    <row r="1024" spans="2:7">
      <c r="C1024" t="s">
        <v>2189</v>
      </c>
    </row>
    <row r="1026" spans="2:4">
      <c r="B1026" s="408" t="s">
        <v>2053</v>
      </c>
    </row>
    <row r="1028" spans="2:4">
      <c r="B1028" s="108" t="s">
        <v>137</v>
      </c>
      <c r="C1028" s="108">
        <v>2017</v>
      </c>
      <c r="D1028" s="108">
        <v>2018</v>
      </c>
    </row>
    <row r="1029" spans="2:4">
      <c r="B1029" t="s">
        <v>30</v>
      </c>
      <c r="C1029">
        <v>150</v>
      </c>
      <c r="D1029" s="15">
        <f>C1029+(15+20)/2</f>
        <v>167.5</v>
      </c>
    </row>
    <row r="1030" spans="2:4">
      <c r="B1030" s="108" t="s">
        <v>132</v>
      </c>
      <c r="C1030" s="108">
        <v>450</v>
      </c>
      <c r="D1030" s="108">
        <f>C1030+(50+60)/2</f>
        <v>505</v>
      </c>
    </row>
    <row r="1031" spans="2:4">
      <c r="B1031" t="s">
        <v>68</v>
      </c>
      <c r="C1031">
        <f>C1029+C1030</f>
        <v>600</v>
      </c>
      <c r="D1031" s="15">
        <f>D1029+D1030</f>
        <v>672.5</v>
      </c>
    </row>
    <row r="1034" spans="2:4">
      <c r="B1034" s="408" t="s">
        <v>2052</v>
      </c>
    </row>
    <row r="1036" spans="2:4">
      <c r="B1036" t="s">
        <v>2066</v>
      </c>
    </row>
    <row r="1037" spans="2:4">
      <c r="C1037" t="s">
        <v>2067</v>
      </c>
    </row>
    <row r="1038" spans="2:4">
      <c r="B1038" t="s">
        <v>2070</v>
      </c>
    </row>
    <row r="1039" spans="2:4">
      <c r="B1039" t="s">
        <v>2071</v>
      </c>
    </row>
    <row r="1040" spans="2:4">
      <c r="B1040" t="s">
        <v>2072</v>
      </c>
    </row>
    <row r="1041" spans="2:3">
      <c r="B1041" t="s">
        <v>2073</v>
      </c>
    </row>
    <row r="1043" spans="2:3">
      <c r="B1043" t="s">
        <v>2074</v>
      </c>
    </row>
    <row r="1044" spans="2:3">
      <c r="B1044" t="s">
        <v>2075</v>
      </c>
    </row>
    <row r="1045" spans="2:3">
      <c r="C1045" t="s">
        <v>2076</v>
      </c>
    </row>
    <row r="1047" spans="2:3">
      <c r="B1047" s="17" t="s">
        <v>30</v>
      </c>
    </row>
    <row r="1048" spans="2:3">
      <c r="B1048" t="s">
        <v>2077</v>
      </c>
    </row>
    <row r="1049" spans="2:3">
      <c r="B1049" t="s">
        <v>2078</v>
      </c>
    </row>
    <row r="1050" spans="2:3">
      <c r="B1050" t="s">
        <v>2082</v>
      </c>
    </row>
    <row r="1051" spans="2:3">
      <c r="C1051" t="s">
        <v>2079</v>
      </c>
    </row>
    <row r="1052" spans="2:3">
      <c r="C1052" t="s">
        <v>2080</v>
      </c>
    </row>
    <row r="1053" spans="2:3">
      <c r="C1053" t="s">
        <v>2081</v>
      </c>
    </row>
    <row r="1054" spans="2:3">
      <c r="B1054" t="s">
        <v>2083</v>
      </c>
    </row>
    <row r="1055" spans="2:3">
      <c r="B1055" t="s">
        <v>2084</v>
      </c>
    </row>
    <row r="1057" spans="2:2">
      <c r="B1057" s="17" t="s">
        <v>2097</v>
      </c>
    </row>
    <row r="1058" spans="2:2">
      <c r="B1058" t="s">
        <v>2095</v>
      </c>
    </row>
    <row r="1059" spans="2:2">
      <c r="B1059" t="s">
        <v>2096</v>
      </c>
    </row>
    <row r="1060" spans="2:2">
      <c r="B1060" t="s">
        <v>2098</v>
      </c>
    </row>
    <row r="1062" spans="2:2">
      <c r="B1062" s="17" t="s">
        <v>1145</v>
      </c>
    </row>
    <row r="1063" spans="2:2">
      <c r="B1063" t="s">
        <v>2099</v>
      </c>
    </row>
    <row r="1064" spans="2:2">
      <c r="B1064" t="s">
        <v>2100</v>
      </c>
    </row>
    <row r="1065" spans="2:2">
      <c r="B1065" t="s">
        <v>2101</v>
      </c>
    </row>
    <row r="1066" spans="2:2">
      <c r="B1066" t="s">
        <v>2102</v>
      </c>
    </row>
    <row r="1067" spans="2:2">
      <c r="B1067" t="s">
        <v>2103</v>
      </c>
    </row>
    <row r="1068" spans="2:2">
      <c r="B1068" t="s">
        <v>2114</v>
      </c>
    </row>
    <row r="1069" spans="2:2">
      <c r="B1069" t="s">
        <v>2115</v>
      </c>
    </row>
    <row r="1071" spans="2:2">
      <c r="B1071" s="17" t="s">
        <v>1487</v>
      </c>
    </row>
    <row r="1072" spans="2:2">
      <c r="B1072" t="s">
        <v>2104</v>
      </c>
    </row>
    <row r="1073" spans="2:5">
      <c r="B1073" t="s">
        <v>2105</v>
      </c>
    </row>
    <row r="1074" spans="2:5">
      <c r="B1074" t="s">
        <v>2106</v>
      </c>
    </row>
    <row r="1075" spans="2:5">
      <c r="B1075" t="s">
        <v>2107</v>
      </c>
    </row>
    <row r="1076" spans="2:5">
      <c r="B1076" t="s">
        <v>2108</v>
      </c>
    </row>
    <row r="1077" spans="2:5">
      <c r="B1077" t="s">
        <v>2109</v>
      </c>
    </row>
    <row r="1078" spans="2:5">
      <c r="B1078" s="148">
        <f>250/2</f>
        <v>125</v>
      </c>
    </row>
    <row r="1079" spans="2:5">
      <c r="B1079" s="419">
        <f>125/600</f>
        <v>0.20833333333333334</v>
      </c>
    </row>
    <row r="1080" spans="2:5">
      <c r="B1080" t="s">
        <v>2110</v>
      </c>
    </row>
    <row r="1082" spans="2:5">
      <c r="B1082" s="17" t="s">
        <v>2111</v>
      </c>
    </row>
    <row r="1083" spans="2:5">
      <c r="B1083" t="s">
        <v>2112</v>
      </c>
      <c r="E1083" t="s">
        <v>38</v>
      </c>
    </row>
    <row r="1084" spans="2:5">
      <c r="B1084" t="s">
        <v>2113</v>
      </c>
    </row>
    <row r="1085" spans="2:5">
      <c r="B1085" s="17"/>
    </row>
    <row r="1087" spans="2:5">
      <c r="B1087" s="17" t="s">
        <v>876</v>
      </c>
    </row>
    <row r="1089" spans="2:4">
      <c r="B1089" t="s">
        <v>1842</v>
      </c>
    </row>
    <row r="1090" spans="2:4">
      <c r="C1090" t="s">
        <v>2085</v>
      </c>
    </row>
    <row r="1091" spans="2:4">
      <c r="D1091" t="s">
        <v>2087</v>
      </c>
    </row>
    <row r="1092" spans="2:4">
      <c r="C1092" t="s">
        <v>2086</v>
      </c>
    </row>
    <row r="1093" spans="2:4">
      <c r="B1093" t="s">
        <v>2088</v>
      </c>
    </row>
    <row r="1094" spans="2:4">
      <c r="C1094" t="s">
        <v>2089</v>
      </c>
    </row>
    <row r="1095" spans="2:4">
      <c r="C1095" t="s">
        <v>2090</v>
      </c>
    </row>
    <row r="1096" spans="2:4">
      <c r="C1096" s="57">
        <f>20000/Interims!AQ123</f>
        <v>7.6550042676648791E-2</v>
      </c>
      <c r="D1096" t="s">
        <v>2091</v>
      </c>
    </row>
    <row r="1097" spans="2:4">
      <c r="C1097" s="57">
        <f>10000/Interims!AU123</f>
        <v>3.976554236223228E-2</v>
      </c>
      <c r="D1097" t="s">
        <v>2092</v>
      </c>
    </row>
    <row r="1098" spans="2:4">
      <c r="B1098" t="s">
        <v>2093</v>
      </c>
      <c r="C1098" s="57"/>
    </row>
    <row r="1099" spans="2:4">
      <c r="C1099" s="57" t="s">
        <v>2094</v>
      </c>
    </row>
    <row r="1100" spans="2:4">
      <c r="C1100" s="57"/>
    </row>
    <row r="1101" spans="2:4">
      <c r="C1101" s="57"/>
    </row>
    <row r="1102" spans="2:4">
      <c r="C1102" s="57"/>
    </row>
    <row r="1103" spans="2:4">
      <c r="C1103" s="57"/>
    </row>
    <row r="1104" spans="2:4">
      <c r="C1104" s="57"/>
    </row>
    <row r="1105" spans="2:3">
      <c r="C1105" s="57"/>
    </row>
    <row r="1107" spans="2:3">
      <c r="B1107" s="408" t="s">
        <v>2054</v>
      </c>
    </row>
    <row r="1109" spans="2:3">
      <c r="B1109" s="17" t="s">
        <v>2056</v>
      </c>
    </row>
    <row r="1110" spans="2:3">
      <c r="B1110" t="s">
        <v>2055</v>
      </c>
    </row>
    <row r="1111" spans="2:3">
      <c r="B1111" t="s">
        <v>2057</v>
      </c>
    </row>
    <row r="1112" spans="2:3">
      <c r="B1112" t="s">
        <v>2058</v>
      </c>
    </row>
    <row r="1113" spans="2:3">
      <c r="B1113" s="17" t="s">
        <v>30</v>
      </c>
    </row>
    <row r="1114" spans="2:3">
      <c r="B1114" t="s">
        <v>2059</v>
      </c>
    </row>
    <row r="1115" spans="2:3">
      <c r="B1115" s="17"/>
      <c r="C1115" t="s">
        <v>2060</v>
      </c>
    </row>
    <row r="1116" spans="2:3">
      <c r="B1116" t="s">
        <v>2061</v>
      </c>
    </row>
    <row r="1117" spans="2:3">
      <c r="B1117" t="s">
        <v>2062</v>
      </c>
    </row>
    <row r="1119" spans="2:3">
      <c r="B1119" t="s">
        <v>2063</v>
      </c>
    </row>
    <row r="1120" spans="2:3">
      <c r="C1120" s="15">
        <f>'Master old'!S264+50</f>
        <v>646.31895223420645</v>
      </c>
    </row>
    <row r="1122" spans="2:3">
      <c r="B1122" s="408" t="s">
        <v>2017</v>
      </c>
    </row>
    <row r="1124" spans="2:3">
      <c r="B1124" t="s">
        <v>30</v>
      </c>
    </row>
    <row r="1125" spans="2:3">
      <c r="B1125" t="s">
        <v>2018</v>
      </c>
    </row>
    <row r="1126" spans="2:3">
      <c r="B1126" t="s">
        <v>2019</v>
      </c>
    </row>
    <row r="1127" spans="2:3">
      <c r="B1127" t="s">
        <v>2020</v>
      </c>
    </row>
    <row r="1129" spans="2:3">
      <c r="B1129" t="s">
        <v>2021</v>
      </c>
    </row>
    <row r="1130" spans="2:3">
      <c r="C1130" t="s">
        <v>2022</v>
      </c>
    </row>
    <row r="1131" spans="2:3">
      <c r="C1131" t="s">
        <v>2023</v>
      </c>
    </row>
    <row r="1132" spans="2:3">
      <c r="B1132" t="s">
        <v>2024</v>
      </c>
    </row>
    <row r="1133" spans="2:3">
      <c r="C1133" t="s">
        <v>2025</v>
      </c>
    </row>
    <row r="1134" spans="2:3">
      <c r="C1134" t="s">
        <v>2026</v>
      </c>
    </row>
    <row r="1135" spans="2:3">
      <c r="C1135" t="s">
        <v>2027</v>
      </c>
    </row>
    <row r="1136" spans="2:3">
      <c r="C1136" t="s">
        <v>2028</v>
      </c>
    </row>
    <row r="1137" spans="2:4">
      <c r="C1137" t="s">
        <v>1487</v>
      </c>
    </row>
    <row r="1138" spans="2:4">
      <c r="B1138" t="s">
        <v>2029</v>
      </c>
    </row>
    <row r="1140" spans="2:4">
      <c r="B1140" t="s">
        <v>134</v>
      </c>
    </row>
    <row r="1141" spans="2:4">
      <c r="B1141" t="s">
        <v>2030</v>
      </c>
    </row>
    <row r="1142" spans="2:4">
      <c r="B1142" t="s">
        <v>2031</v>
      </c>
    </row>
    <row r="1143" spans="2:4">
      <c r="C1143" t="s">
        <v>2032</v>
      </c>
    </row>
    <row r="1144" spans="2:4">
      <c r="C1144" t="s">
        <v>2033</v>
      </c>
    </row>
    <row r="1145" spans="2:4">
      <c r="C1145" t="s">
        <v>2034</v>
      </c>
    </row>
    <row r="1146" spans="2:4">
      <c r="C1146" t="s">
        <v>2035</v>
      </c>
    </row>
    <row r="1147" spans="2:4">
      <c r="C1147" t="s">
        <v>2036</v>
      </c>
    </row>
    <row r="1148" spans="2:4">
      <c r="C1148" t="s">
        <v>2037</v>
      </c>
    </row>
    <row r="1149" spans="2:4">
      <c r="D1149" t="s">
        <v>2038</v>
      </c>
    </row>
    <row r="1150" spans="2:4">
      <c r="B1150" t="s">
        <v>1728</v>
      </c>
    </row>
    <row r="1151" spans="2:4">
      <c r="C1151" t="s">
        <v>2039</v>
      </c>
    </row>
    <row r="1154" spans="2:5">
      <c r="B1154" s="408" t="s">
        <v>1919</v>
      </c>
      <c r="C1154" s="408"/>
    </row>
    <row r="1156" spans="2:5">
      <c r="B1156" t="s">
        <v>1947</v>
      </c>
    </row>
    <row r="1158" spans="2:5">
      <c r="B1158" t="s">
        <v>1948</v>
      </c>
    </row>
    <row r="1159" spans="2:5">
      <c r="B1159" t="s">
        <v>1949</v>
      </c>
    </row>
    <row r="1160" spans="2:5">
      <c r="C1160" t="s">
        <v>1950</v>
      </c>
    </row>
    <row r="1161" spans="2:5">
      <c r="C1161" t="s">
        <v>1951</v>
      </c>
      <c r="E1161" t="s">
        <v>1953</v>
      </c>
    </row>
    <row r="1162" spans="2:5">
      <c r="C1162" t="s">
        <v>1952</v>
      </c>
    </row>
    <row r="1163" spans="2:5">
      <c r="B1163" t="s">
        <v>1954</v>
      </c>
    </row>
    <row r="1164" spans="2:5">
      <c r="B1164" s="418" t="s">
        <v>1955</v>
      </c>
      <c r="C1164" t="s">
        <v>1957</v>
      </c>
    </row>
    <row r="1165" spans="2:5">
      <c r="C1165" t="s">
        <v>1956</v>
      </c>
    </row>
    <row r="1166" spans="2:5">
      <c r="B1166" t="s">
        <v>1958</v>
      </c>
    </row>
    <row r="1167" spans="2:5">
      <c r="B1167" s="17" t="s">
        <v>1959</v>
      </c>
      <c r="C1167" t="s">
        <v>1960</v>
      </c>
    </row>
    <row r="1168" spans="2:5">
      <c r="B1168" s="17" t="s">
        <v>1961</v>
      </c>
      <c r="C1168" t="s">
        <v>1962</v>
      </c>
    </row>
    <row r="1169" spans="2:6">
      <c r="C1169" t="s">
        <v>1963</v>
      </c>
    </row>
    <row r="1170" spans="2:6">
      <c r="B1170" t="s">
        <v>1969</v>
      </c>
    </row>
    <row r="1172" spans="2:6">
      <c r="B1172" t="s">
        <v>1964</v>
      </c>
    </row>
    <row r="1173" spans="2:6">
      <c r="B1173" t="s">
        <v>1965</v>
      </c>
    </row>
    <row r="1175" spans="2:6">
      <c r="B1175" t="s">
        <v>1966</v>
      </c>
    </row>
    <row r="1176" spans="2:6">
      <c r="B1176" t="s">
        <v>1967</v>
      </c>
    </row>
    <row r="1177" spans="2:6">
      <c r="B1177" t="s">
        <v>1968</v>
      </c>
    </row>
    <row r="1179" spans="2:6">
      <c r="B1179" t="s">
        <v>1970</v>
      </c>
    </row>
    <row r="1180" spans="2:6">
      <c r="B1180" t="s">
        <v>1971</v>
      </c>
    </row>
    <row r="1181" spans="2:6">
      <c r="C1181" t="s">
        <v>1972</v>
      </c>
      <c r="D1181" t="s">
        <v>1973</v>
      </c>
    </row>
    <row r="1182" spans="2:6">
      <c r="E1182" t="s">
        <v>1976</v>
      </c>
    </row>
    <row r="1183" spans="2:6">
      <c r="E1183" t="s">
        <v>1977</v>
      </c>
    </row>
    <row r="1184" spans="2:6">
      <c r="F1184" t="s">
        <v>1978</v>
      </c>
    </row>
    <row r="1185" spans="2:6">
      <c r="F1185" t="s">
        <v>1979</v>
      </c>
    </row>
    <row r="1186" spans="2:6">
      <c r="E1186" t="s">
        <v>1980</v>
      </c>
    </row>
    <row r="1187" spans="2:6">
      <c r="D1187" t="s">
        <v>1974</v>
      </c>
      <c r="E1187" t="s">
        <v>1975</v>
      </c>
    </row>
    <row r="1188" spans="2:6">
      <c r="B1188" t="s">
        <v>1981</v>
      </c>
    </row>
    <row r="1189" spans="2:6">
      <c r="B1189" t="s">
        <v>1982</v>
      </c>
    </row>
    <row r="1190" spans="2:6">
      <c r="B1190" t="s">
        <v>1983</v>
      </c>
    </row>
    <row r="1191" spans="2:6">
      <c r="C1191" t="s">
        <v>1984</v>
      </c>
    </row>
    <row r="1192" spans="2:6">
      <c r="C1192" t="s">
        <v>1985</v>
      </c>
    </row>
    <row r="1193" spans="2:6">
      <c r="B1193" t="s">
        <v>1986</v>
      </c>
    </row>
    <row r="1195" spans="2:6">
      <c r="B1195" t="s">
        <v>1987</v>
      </c>
    </row>
    <row r="1196" spans="2:6">
      <c r="C1196" t="s">
        <v>1988</v>
      </c>
    </row>
    <row r="1198" spans="2:6">
      <c r="B1198" s="17" t="s">
        <v>1989</v>
      </c>
    </row>
    <row r="1199" spans="2:6">
      <c r="B1199" t="s">
        <v>1990</v>
      </c>
    </row>
    <row r="1200" spans="2:6">
      <c r="B1200" t="s">
        <v>1991</v>
      </c>
    </row>
    <row r="1201" spans="2:5">
      <c r="B1201" t="s">
        <v>1992</v>
      </c>
    </row>
    <row r="1203" spans="2:5">
      <c r="B1203" t="s">
        <v>1993</v>
      </c>
    </row>
    <row r="1204" spans="2:5">
      <c r="C1204" t="s">
        <v>1994</v>
      </c>
    </row>
    <row r="1206" spans="2:5">
      <c r="B1206" t="s">
        <v>1995</v>
      </c>
    </row>
    <row r="1207" spans="2:5">
      <c r="C1207" t="s">
        <v>1996</v>
      </c>
    </row>
    <row r="1208" spans="2:5">
      <c r="C1208" t="s">
        <v>1997</v>
      </c>
    </row>
    <row r="1209" spans="2:5">
      <c r="B1209" t="s">
        <v>1998</v>
      </c>
    </row>
    <row r="1210" spans="2:5">
      <c r="C1210" t="s">
        <v>1999</v>
      </c>
      <c r="D1210" t="s">
        <v>2000</v>
      </c>
    </row>
    <row r="1211" spans="2:5">
      <c r="D1211" t="s">
        <v>2001</v>
      </c>
    </row>
    <row r="1212" spans="2:5">
      <c r="C1212" t="s">
        <v>2002</v>
      </c>
      <c r="D1212" t="s">
        <v>2004</v>
      </c>
    </row>
    <row r="1213" spans="2:5">
      <c r="D1213" t="s">
        <v>2003</v>
      </c>
    </row>
    <row r="1214" spans="2:5">
      <c r="B1214" t="s">
        <v>2005</v>
      </c>
    </row>
    <row r="1216" spans="2:5">
      <c r="B1216" t="s">
        <v>1636</v>
      </c>
      <c r="C1216" t="s">
        <v>2002</v>
      </c>
      <c r="D1216" t="s">
        <v>2006</v>
      </c>
      <c r="E1216" t="s">
        <v>2009</v>
      </c>
    </row>
    <row r="1217" spans="2:5">
      <c r="E1217" t="s">
        <v>2010</v>
      </c>
    </row>
    <row r="1218" spans="2:5">
      <c r="D1218" t="s">
        <v>2007</v>
      </c>
      <c r="E1218" t="s">
        <v>2008</v>
      </c>
    </row>
    <row r="1220" spans="2:5">
      <c r="B1220" t="s">
        <v>2011</v>
      </c>
    </row>
    <row r="1221" spans="2:5">
      <c r="B1221" t="s">
        <v>2012</v>
      </c>
    </row>
    <row r="1222" spans="2:5">
      <c r="B1222" t="s">
        <v>2013</v>
      </c>
    </row>
    <row r="1224" spans="2:5">
      <c r="B1224" s="370">
        <v>42795</v>
      </c>
      <c r="C1224" t="s">
        <v>2014</v>
      </c>
    </row>
    <row r="1226" spans="2:5">
      <c r="B1226" s="408" t="s">
        <v>1919</v>
      </c>
      <c r="C1226" s="408"/>
    </row>
    <row r="1228" spans="2:5">
      <c r="B1228" t="s">
        <v>231</v>
      </c>
    </row>
    <row r="1229" spans="2:5">
      <c r="C1229" t="s">
        <v>1890</v>
      </c>
    </row>
    <row r="1230" spans="2:5">
      <c r="C1230" t="s">
        <v>1891</v>
      </c>
    </row>
    <row r="1231" spans="2:5">
      <c r="C1231" t="s">
        <v>1892</v>
      </c>
    </row>
    <row r="1232" spans="2:5">
      <c r="B1232" t="s">
        <v>30</v>
      </c>
    </row>
    <row r="1233" spans="2:12">
      <c r="C1233" t="s">
        <v>1893</v>
      </c>
    </row>
    <row r="1234" spans="2:12">
      <c r="C1234" t="s">
        <v>1894</v>
      </c>
    </row>
    <row r="1235" spans="2:12">
      <c r="C1235" t="s">
        <v>1895</v>
      </c>
    </row>
    <row r="1236" spans="2:12">
      <c r="D1236" t="s">
        <v>1896</v>
      </c>
    </row>
    <row r="1237" spans="2:12">
      <c r="D1237" t="s">
        <v>1897</v>
      </c>
    </row>
    <row r="1238" spans="2:12">
      <c r="C1238" t="s">
        <v>1898</v>
      </c>
    </row>
    <row r="1239" spans="2:12">
      <c r="C1239" t="s">
        <v>1899</v>
      </c>
    </row>
    <row r="1240" spans="2:12">
      <c r="C1240" t="s">
        <v>1900</v>
      </c>
    </row>
    <row r="1241" spans="2:12">
      <c r="C1241" t="s">
        <v>1901</v>
      </c>
    </row>
    <row r="1242" spans="2:12">
      <c r="B1242" t="s">
        <v>1902</v>
      </c>
    </row>
    <row r="1243" spans="2:12">
      <c r="C1243" t="s">
        <v>1903</v>
      </c>
      <c r="I1243" s="108" t="s">
        <v>133</v>
      </c>
      <c r="J1243" s="394">
        <v>42826</v>
      </c>
      <c r="K1243" s="394">
        <v>43101</v>
      </c>
      <c r="L1243" s="394" t="s">
        <v>2042</v>
      </c>
    </row>
    <row r="1244" spans="2:12">
      <c r="D1244" t="s">
        <v>1909</v>
      </c>
      <c r="E1244">
        <f>3.25*2</f>
        <v>6.5</v>
      </c>
      <c r="F1244" t="s">
        <v>1907</v>
      </c>
      <c r="I1244" t="s">
        <v>2040</v>
      </c>
      <c r="J1244" s="164">
        <v>1.99</v>
      </c>
      <c r="K1244" s="164">
        <v>0.66</v>
      </c>
      <c r="L1244" s="57">
        <f>K1244/J1244-1</f>
        <v>-0.66834170854271358</v>
      </c>
    </row>
    <row r="1245" spans="2:12">
      <c r="D1245" s="148">
        <v>1.8</v>
      </c>
      <c r="E1245" s="164">
        <f>3.25*1.8</f>
        <v>5.8500000000000005</v>
      </c>
      <c r="F1245" t="s">
        <v>1908</v>
      </c>
      <c r="I1245" t="s">
        <v>2041</v>
      </c>
      <c r="J1245" s="164">
        <v>1.76</v>
      </c>
      <c r="K1245" s="164">
        <v>0.66</v>
      </c>
      <c r="L1245" s="57">
        <f>K1245/J1245-1</f>
        <v>-0.625</v>
      </c>
    </row>
    <row r="1246" spans="2:12">
      <c r="C1246" t="s">
        <v>1906</v>
      </c>
    </row>
    <row r="1247" spans="2:12">
      <c r="C1247" t="s">
        <v>1904</v>
      </c>
    </row>
    <row r="1248" spans="2:12">
      <c r="C1248" t="s">
        <v>1905</v>
      </c>
    </row>
    <row r="1250" spans="2:16">
      <c r="C1250" s="370">
        <v>43101</v>
      </c>
      <c r="D1250" t="s">
        <v>1914</v>
      </c>
    </row>
    <row r="1251" spans="2:16">
      <c r="C1251" s="14"/>
      <c r="D1251" t="s">
        <v>1910</v>
      </c>
    </row>
    <row r="1252" spans="2:16">
      <c r="C1252" s="14" t="s">
        <v>1917</v>
      </c>
      <c r="L1252" s="420" t="s">
        <v>2043</v>
      </c>
      <c r="P1252" s="420" t="s">
        <v>2043</v>
      </c>
    </row>
    <row r="1253" spans="2:16">
      <c r="C1253" s="14" t="s">
        <v>1911</v>
      </c>
      <c r="L1253">
        <f>-14</f>
        <v>-14</v>
      </c>
      <c r="M1253" t="s">
        <v>2044</v>
      </c>
      <c r="P1253" s="15">
        <f>P1255-P1257</f>
        <v>-4.6432160804020093</v>
      </c>
    </row>
    <row r="1254" spans="2:16">
      <c r="C1254" s="14" t="s">
        <v>1912</v>
      </c>
      <c r="D1254" t="s">
        <v>1913</v>
      </c>
      <c r="L1254" s="15">
        <f>L1253/(J1244/100)</f>
        <v>-703.5175879396985</v>
      </c>
      <c r="M1254" t="s">
        <v>2045</v>
      </c>
      <c r="P1254" s="15">
        <f>L1254</f>
        <v>-703.5175879396985</v>
      </c>
    </row>
    <row r="1255" spans="2:16">
      <c r="C1255" s="14"/>
      <c r="D1255" t="s">
        <v>1915</v>
      </c>
      <c r="L1255" s="164">
        <f>M1255*Interims!AS293/Interims!AS287</f>
        <v>7.7863975384615385</v>
      </c>
      <c r="M1255" s="419">
        <v>0.05</v>
      </c>
      <c r="N1255" t="s">
        <v>2046</v>
      </c>
      <c r="P1255" s="15">
        <f>P1256*(K1244/100)</f>
        <v>2.5824233042133744</v>
      </c>
    </row>
    <row r="1256" spans="2:16">
      <c r="C1256" s="14"/>
      <c r="D1256" t="s">
        <v>1916</v>
      </c>
      <c r="L1256" s="15">
        <f>L1255/(J1244/100)</f>
        <v>391.27625821414762</v>
      </c>
      <c r="M1256" t="s">
        <v>2049</v>
      </c>
      <c r="P1256" s="15">
        <f>L1256</f>
        <v>391.27625821414762</v>
      </c>
    </row>
    <row r="1257" spans="2:16">
      <c r="C1257" s="14" t="s">
        <v>1918</v>
      </c>
      <c r="L1257" s="164">
        <f>L1255-L1253</f>
        <v>21.786397538461539</v>
      </c>
      <c r="M1257" t="s">
        <v>2047</v>
      </c>
      <c r="P1257" s="15">
        <f>P1258*(K1245/100)</f>
        <v>7.2256393846153841</v>
      </c>
    </row>
    <row r="1258" spans="2:16">
      <c r="L1258" s="15">
        <f>L1257/(J1244/100)</f>
        <v>1094.7938461538461</v>
      </c>
      <c r="M1258" t="s">
        <v>2048</v>
      </c>
      <c r="P1258" s="15">
        <f>L1258</f>
        <v>1094.7938461538461</v>
      </c>
    </row>
    <row r="1259" spans="2:16">
      <c r="B1259" s="408" t="s">
        <v>1844</v>
      </c>
    </row>
    <row r="1261" spans="2:16">
      <c r="B1261" t="s">
        <v>1849</v>
      </c>
    </row>
    <row r="1263" spans="2:16">
      <c r="B1263" s="17" t="s">
        <v>132</v>
      </c>
    </row>
    <row r="1264" spans="2:16">
      <c r="B1264" t="s">
        <v>1850</v>
      </c>
    </row>
    <row r="1265" spans="2:3">
      <c r="B1265" t="s">
        <v>1439</v>
      </c>
    </row>
    <row r="1266" spans="2:3">
      <c r="B1266" t="s">
        <v>1851</v>
      </c>
    </row>
    <row r="1268" spans="2:3">
      <c r="B1268" s="17" t="s">
        <v>30</v>
      </c>
    </row>
    <row r="1269" spans="2:3">
      <c r="B1269" t="s">
        <v>1852</v>
      </c>
    </row>
    <row r="1270" spans="2:3">
      <c r="B1270" t="s">
        <v>1853</v>
      </c>
    </row>
    <row r="1271" spans="2:3">
      <c r="B1271" s="17"/>
    </row>
    <row r="1272" spans="2:3">
      <c r="B1272" s="17" t="s">
        <v>876</v>
      </c>
    </row>
    <row r="1273" spans="2:3">
      <c r="B1273" t="s">
        <v>1855</v>
      </c>
    </row>
    <row r="1274" spans="2:3">
      <c r="B1274" s="17"/>
      <c r="C1274" t="s">
        <v>1854</v>
      </c>
    </row>
    <row r="1275" spans="2:3">
      <c r="B1275" t="s">
        <v>1856</v>
      </c>
    </row>
    <row r="1276" spans="2:3">
      <c r="B1276" t="s">
        <v>1857</v>
      </c>
    </row>
    <row r="1277" spans="2:3">
      <c r="B1277" t="s">
        <v>1858</v>
      </c>
    </row>
    <row r="1279" spans="2:3">
      <c r="B1279" t="s">
        <v>1859</v>
      </c>
      <c r="C1279" t="s">
        <v>1860</v>
      </c>
    </row>
    <row r="1281" spans="2:3">
      <c r="B1281" s="17" t="s">
        <v>1863</v>
      </c>
    </row>
    <row r="1282" spans="2:3">
      <c r="B1282" t="s">
        <v>1861</v>
      </c>
    </row>
    <row r="1283" spans="2:3">
      <c r="B1283" t="s">
        <v>1862</v>
      </c>
    </row>
    <row r="1284" spans="2:3">
      <c r="C1284" t="s">
        <v>1864</v>
      </c>
    </row>
    <row r="1285" spans="2:3">
      <c r="C1285" t="s">
        <v>1865</v>
      </c>
    </row>
    <row r="1286" spans="2:3">
      <c r="C1286" t="s">
        <v>1866</v>
      </c>
    </row>
    <row r="1287" spans="2:3">
      <c r="C1287" t="s">
        <v>1867</v>
      </c>
    </row>
    <row r="1288" spans="2:3">
      <c r="B1288" t="s">
        <v>1868</v>
      </c>
    </row>
    <row r="1289" spans="2:3">
      <c r="C1289" t="s">
        <v>1869</v>
      </c>
    </row>
    <row r="1291" spans="2:3">
      <c r="B1291" t="s">
        <v>1870</v>
      </c>
    </row>
    <row r="1293" spans="2:3">
      <c r="B1293" t="s">
        <v>1872</v>
      </c>
    </row>
    <row r="1294" spans="2:3">
      <c r="C1294" t="s">
        <v>1871</v>
      </c>
    </row>
    <row r="1303" spans="1:3">
      <c r="A1303" t="s">
        <v>38</v>
      </c>
      <c r="B1303" s="408" t="s">
        <v>1798</v>
      </c>
    </row>
    <row r="1305" spans="1:3">
      <c r="B1305" t="s">
        <v>1800</v>
      </c>
    </row>
    <row r="1306" spans="1:3">
      <c r="C1306" t="s">
        <v>1817</v>
      </c>
    </row>
    <row r="1307" spans="1:3">
      <c r="B1307" t="s">
        <v>1801</v>
      </c>
    </row>
    <row r="1308" spans="1:3">
      <c r="B1308" t="s">
        <v>1802</v>
      </c>
    </row>
    <row r="1310" spans="1:3">
      <c r="B1310" t="s">
        <v>1803</v>
      </c>
    </row>
    <row r="1312" spans="1:3">
      <c r="B1312" s="17" t="s">
        <v>132</v>
      </c>
    </row>
    <row r="1313" spans="2:3">
      <c r="B1313" t="s">
        <v>1804</v>
      </c>
    </row>
    <row r="1314" spans="2:3">
      <c r="B1314" t="s">
        <v>1805</v>
      </c>
    </row>
    <row r="1315" spans="2:3">
      <c r="B1315" t="s">
        <v>1806</v>
      </c>
    </row>
    <row r="1316" spans="2:3">
      <c r="B1316" t="s">
        <v>1807</v>
      </c>
    </row>
    <row r="1317" spans="2:3">
      <c r="B1317" t="s">
        <v>1808</v>
      </c>
    </row>
    <row r="1319" spans="2:3">
      <c r="B1319" s="17" t="s">
        <v>30</v>
      </c>
    </row>
    <row r="1320" spans="2:3">
      <c r="B1320" t="s">
        <v>1809</v>
      </c>
    </row>
    <row r="1321" spans="2:3">
      <c r="B1321" t="s">
        <v>1810</v>
      </c>
    </row>
    <row r="1323" spans="2:3">
      <c r="B1323" t="s">
        <v>1811</v>
      </c>
    </row>
    <row r="1325" spans="2:3">
      <c r="B1325" s="17" t="s">
        <v>876</v>
      </c>
    </row>
    <row r="1326" spans="2:3">
      <c r="B1326" t="s">
        <v>1813</v>
      </c>
      <c r="C1326" t="s">
        <v>1812</v>
      </c>
    </row>
    <row r="1327" spans="2:3">
      <c r="B1327" s="17"/>
      <c r="C1327" t="s">
        <v>1814</v>
      </c>
    </row>
    <row r="1328" spans="2:3">
      <c r="C1328" t="s">
        <v>1815</v>
      </c>
    </row>
    <row r="1329" spans="2:4">
      <c r="B1329" s="17"/>
      <c r="C1329" t="s">
        <v>1816</v>
      </c>
    </row>
    <row r="1330" spans="2:4">
      <c r="B1330" s="17"/>
    </row>
    <row r="1331" spans="2:4">
      <c r="B1331" t="s">
        <v>1819</v>
      </c>
    </row>
    <row r="1332" spans="2:4">
      <c r="B1332" t="s">
        <v>1818</v>
      </c>
    </row>
    <row r="1334" spans="2:4">
      <c r="B1334" s="17" t="s">
        <v>1820</v>
      </c>
    </row>
    <row r="1335" spans="2:4">
      <c r="C1335" t="s">
        <v>1821</v>
      </c>
    </row>
    <row r="1336" spans="2:4">
      <c r="D1336" t="s">
        <v>1822</v>
      </c>
    </row>
    <row r="1337" spans="2:4">
      <c r="D1337" t="s">
        <v>1823</v>
      </c>
    </row>
    <row r="1338" spans="2:4">
      <c r="D1338" t="s">
        <v>1824</v>
      </c>
    </row>
    <row r="1339" spans="2:4">
      <c r="D1339" t="s">
        <v>1825</v>
      </c>
    </row>
    <row r="1340" spans="2:4">
      <c r="C1340" t="s">
        <v>1826</v>
      </c>
    </row>
    <row r="1341" spans="2:4">
      <c r="C1341" t="s">
        <v>1827</v>
      </c>
    </row>
    <row r="1342" spans="2:4">
      <c r="D1342" t="s">
        <v>1828</v>
      </c>
    </row>
    <row r="1343" spans="2:4">
      <c r="D1343" t="s">
        <v>1829</v>
      </c>
    </row>
    <row r="1344" spans="2:4">
      <c r="B1344" t="s">
        <v>1830</v>
      </c>
    </row>
    <row r="1345" spans="2:3">
      <c r="B1345" t="s">
        <v>1831</v>
      </c>
    </row>
    <row r="1346" spans="2:3">
      <c r="B1346" t="s">
        <v>1832</v>
      </c>
    </row>
    <row r="1348" spans="2:3">
      <c r="B1348" t="s">
        <v>1833</v>
      </c>
    </row>
    <row r="1350" spans="2:3">
      <c r="B1350" s="17" t="s">
        <v>137</v>
      </c>
    </row>
    <row r="1351" spans="2:3">
      <c r="B1351" t="s">
        <v>30</v>
      </c>
      <c r="C1351" t="s">
        <v>1834</v>
      </c>
    </row>
    <row r="1352" spans="2:3">
      <c r="B1352" s="108" t="s">
        <v>132</v>
      </c>
      <c r="C1352" s="108" t="s">
        <v>1835</v>
      </c>
    </row>
    <row r="1353" spans="2:3">
      <c r="B1353" t="s">
        <v>68</v>
      </c>
      <c r="C1353" t="s">
        <v>1836</v>
      </c>
    </row>
    <row r="1355" spans="2:3">
      <c r="B1355" t="s">
        <v>1838</v>
      </c>
      <c r="C1355" t="s">
        <v>1837</v>
      </c>
    </row>
    <row r="1356" spans="2:3">
      <c r="B1356" t="s">
        <v>1839</v>
      </c>
    </row>
    <row r="1357" spans="2:3">
      <c r="B1357" t="s">
        <v>1840</v>
      </c>
    </row>
    <row r="1359" spans="2:3">
      <c r="B1359" t="s">
        <v>1841</v>
      </c>
    </row>
    <row r="1361" spans="2:5">
      <c r="B1361" s="17" t="s">
        <v>1842</v>
      </c>
    </row>
    <row r="1362" spans="2:5">
      <c r="C1362" t="s">
        <v>1843</v>
      </c>
    </row>
    <row r="1367" spans="2:5">
      <c r="B1367" s="408" t="s">
        <v>1781</v>
      </c>
    </row>
    <row r="1369" spans="2:5">
      <c r="B1369" t="s">
        <v>1795</v>
      </c>
    </row>
    <row r="1370" spans="2:5">
      <c r="B1370" t="s">
        <v>1796</v>
      </c>
    </row>
    <row r="1372" spans="2:5">
      <c r="B1372" t="s">
        <v>1782</v>
      </c>
      <c r="E1372" s="249" t="s">
        <v>1792</v>
      </c>
    </row>
    <row r="1373" spans="2:5">
      <c r="C1373" t="s">
        <v>1783</v>
      </c>
      <c r="E1373" s="249" t="s">
        <v>1793</v>
      </c>
    </row>
    <row r="1374" spans="2:5">
      <c r="C1374" t="s">
        <v>1786</v>
      </c>
    </row>
    <row r="1375" spans="2:5">
      <c r="B1375" t="s">
        <v>1784</v>
      </c>
      <c r="C1375" t="s">
        <v>1785</v>
      </c>
    </row>
    <row r="1376" spans="2:5">
      <c r="B1376" t="s">
        <v>1787</v>
      </c>
      <c r="C1376" s="409">
        <v>7.0999999999999994E-2</v>
      </c>
      <c r="E1376" s="409">
        <v>2.1000000000000001E-2</v>
      </c>
    </row>
    <row r="1377" spans="2:5">
      <c r="B1377" t="s">
        <v>1788</v>
      </c>
      <c r="C1377" s="409">
        <v>0.128</v>
      </c>
      <c r="E1377" s="409">
        <v>0.157</v>
      </c>
    </row>
    <row r="1378" spans="2:5">
      <c r="B1378" t="s">
        <v>1790</v>
      </c>
      <c r="E1378" s="409">
        <v>0.36199999999999999</v>
      </c>
    </row>
    <row r="1379" spans="2:5">
      <c r="B1379" t="s">
        <v>1789</v>
      </c>
      <c r="E1379" s="57">
        <v>0.46</v>
      </c>
    </row>
    <row r="1380" spans="2:5">
      <c r="E1380" s="57"/>
    </row>
    <row r="1381" spans="2:5">
      <c r="B1381" t="s">
        <v>1791</v>
      </c>
      <c r="E1381" s="57"/>
    </row>
    <row r="1382" spans="2:5">
      <c r="B1382" t="s">
        <v>1794</v>
      </c>
      <c r="E1382" s="57"/>
    </row>
    <row r="1383" spans="2:5">
      <c r="E1383" s="57"/>
    </row>
    <row r="1384" spans="2:5">
      <c r="B1384" t="s">
        <v>1797</v>
      </c>
      <c r="E1384" s="57"/>
    </row>
    <row r="1385" spans="2:5">
      <c r="E1385" s="57"/>
    </row>
    <row r="1387" spans="2:5">
      <c r="B1387" s="408" t="s">
        <v>1750</v>
      </c>
    </row>
    <row r="1388" spans="2:5">
      <c r="B1388" t="s">
        <v>1756</v>
      </c>
    </row>
    <row r="1389" spans="2:5">
      <c r="B1389" s="17"/>
    </row>
    <row r="1390" spans="2:5">
      <c r="B1390" s="17" t="s">
        <v>1052</v>
      </c>
    </row>
    <row r="1391" spans="2:5">
      <c r="B1391" t="s">
        <v>1758</v>
      </c>
    </row>
    <row r="1392" spans="2:5">
      <c r="B1392" t="s">
        <v>1757</v>
      </c>
    </row>
    <row r="1393" spans="2:4">
      <c r="B1393" t="s">
        <v>1759</v>
      </c>
    </row>
    <row r="1395" spans="2:4">
      <c r="B1395" s="17" t="s">
        <v>30</v>
      </c>
    </row>
    <row r="1396" spans="2:4">
      <c r="B1396" t="s">
        <v>1760</v>
      </c>
    </row>
    <row r="1397" spans="2:4">
      <c r="B1397" t="s">
        <v>1761</v>
      </c>
    </row>
    <row r="1398" spans="2:4">
      <c r="C1398" t="s">
        <v>1762</v>
      </c>
    </row>
    <row r="1400" spans="2:4">
      <c r="B1400" t="s">
        <v>1763</v>
      </c>
    </row>
    <row r="1401" spans="2:4">
      <c r="B1401" t="s">
        <v>1764</v>
      </c>
    </row>
    <row r="1402" spans="2:4">
      <c r="B1402" t="s">
        <v>1765</v>
      </c>
    </row>
    <row r="1404" spans="2:4">
      <c r="B1404" s="17" t="s">
        <v>181</v>
      </c>
    </row>
    <row r="1405" spans="2:4">
      <c r="B1405" t="s">
        <v>1766</v>
      </c>
    </row>
    <row r="1406" spans="2:4">
      <c r="B1406" t="s">
        <v>1767</v>
      </c>
      <c r="C1406" t="s">
        <v>1768</v>
      </c>
    </row>
    <row r="1407" spans="2:4">
      <c r="C1407" t="s">
        <v>1769</v>
      </c>
      <c r="D1407" t="s">
        <v>1770</v>
      </c>
    </row>
    <row r="1408" spans="2:4">
      <c r="B1408" t="s">
        <v>1771</v>
      </c>
    </row>
    <row r="1409" spans="2:4">
      <c r="C1409">
        <f>'Master old'!R311-'Master old'!R308</f>
        <v>163100</v>
      </c>
      <c r="D1409" t="s">
        <v>1772</v>
      </c>
    </row>
    <row r="1410" spans="2:4">
      <c r="C1410" t="s">
        <v>1773</v>
      </c>
    </row>
    <row r="1411" spans="2:4">
      <c r="B1411" s="17" t="s">
        <v>137</v>
      </c>
    </row>
    <row r="1412" spans="2:4">
      <c r="B1412" t="s">
        <v>1774</v>
      </c>
    </row>
    <row r="1413" spans="2:4">
      <c r="C1413" t="s">
        <v>1775</v>
      </c>
    </row>
    <row r="1414" spans="2:4">
      <c r="C1414" t="s">
        <v>1776</v>
      </c>
    </row>
    <row r="1415" spans="2:4">
      <c r="D1415" t="s">
        <v>1777</v>
      </c>
    </row>
    <row r="1416" spans="2:4">
      <c r="D1416" t="s">
        <v>1778</v>
      </c>
    </row>
    <row r="1417" spans="2:4">
      <c r="B1417" t="s">
        <v>1779</v>
      </c>
    </row>
    <row r="1418" spans="2:4">
      <c r="C1418" t="s">
        <v>1780</v>
      </c>
    </row>
    <row r="1420" spans="2:4">
      <c r="B1420" s="17" t="s">
        <v>1725</v>
      </c>
    </row>
    <row r="1421" spans="2:4">
      <c r="B1421" s="17"/>
    </row>
    <row r="1422" spans="2:4">
      <c r="B1422" t="s">
        <v>1726</v>
      </c>
    </row>
    <row r="1423" spans="2:4">
      <c r="B1423" t="s">
        <v>1727</v>
      </c>
    </row>
    <row r="1425" spans="2:3">
      <c r="B1425" t="s">
        <v>1728</v>
      </c>
    </row>
    <row r="1426" spans="2:3">
      <c r="C1426" t="s">
        <v>1729</v>
      </c>
    </row>
    <row r="1428" spans="2:3">
      <c r="B1428" t="s">
        <v>1732</v>
      </c>
    </row>
    <row r="1429" spans="2:3">
      <c r="C1429" t="s">
        <v>1733</v>
      </c>
    </row>
    <row r="1431" spans="2:3">
      <c r="B1431" t="s">
        <v>1735</v>
      </c>
    </row>
    <row r="1432" spans="2:3">
      <c r="C1432" t="s">
        <v>1734</v>
      </c>
    </row>
    <row r="1433" spans="2:3">
      <c r="C1433" t="s">
        <v>1736</v>
      </c>
    </row>
    <row r="1435" spans="2:3">
      <c r="B1435" t="s">
        <v>132</v>
      </c>
    </row>
    <row r="1436" spans="2:3">
      <c r="B1436" t="s">
        <v>1737</v>
      </c>
    </row>
    <row r="1437" spans="2:3">
      <c r="B1437" t="s">
        <v>1738</v>
      </c>
    </row>
    <row r="1438" spans="2:3">
      <c r="C1438" t="s">
        <v>1739</v>
      </c>
    </row>
    <row r="1439" spans="2:3">
      <c r="C1439" t="s">
        <v>1740</v>
      </c>
    </row>
    <row r="1441" spans="2:10">
      <c r="B1441" t="s">
        <v>1741</v>
      </c>
    </row>
    <row r="1442" spans="2:10">
      <c r="C1442" t="s">
        <v>1742</v>
      </c>
    </row>
    <row r="1443" spans="2:10">
      <c r="C1443" t="s">
        <v>1743</v>
      </c>
    </row>
    <row r="1445" spans="2:10">
      <c r="B1445" t="s">
        <v>38</v>
      </c>
    </row>
    <row r="1448" spans="2:10">
      <c r="B1448" s="17" t="s">
        <v>1640</v>
      </c>
      <c r="G1448" s="17" t="s">
        <v>876</v>
      </c>
    </row>
    <row r="1449" spans="2:10">
      <c r="B1449" t="s">
        <v>1648</v>
      </c>
      <c r="G1449" t="s">
        <v>1661</v>
      </c>
    </row>
    <row r="1450" spans="2:10">
      <c r="B1450" t="s">
        <v>1649</v>
      </c>
      <c r="C1450" t="s">
        <v>1650</v>
      </c>
      <c r="G1450" t="s">
        <v>1664</v>
      </c>
    </row>
    <row r="1451" spans="2:10">
      <c r="B1451" t="s">
        <v>1651</v>
      </c>
      <c r="C1451" t="s">
        <v>1652</v>
      </c>
      <c r="G1451" t="s">
        <v>1665</v>
      </c>
    </row>
    <row r="1452" spans="2:10">
      <c r="C1452" t="s">
        <v>1706</v>
      </c>
      <c r="D1452" t="s">
        <v>936</v>
      </c>
      <c r="E1452">
        <v>3500</v>
      </c>
      <c r="G1452" t="s">
        <v>1667</v>
      </c>
    </row>
    <row r="1453" spans="2:10">
      <c r="C1453" t="s">
        <v>1653</v>
      </c>
      <c r="G1453" t="s">
        <v>1668</v>
      </c>
    </row>
    <row r="1454" spans="2:10">
      <c r="B1454" t="s">
        <v>1654</v>
      </c>
    </row>
    <row r="1455" spans="2:10">
      <c r="C1455" t="s">
        <v>1655</v>
      </c>
      <c r="G1455" t="s">
        <v>1255</v>
      </c>
      <c r="H1455" t="s">
        <v>1269</v>
      </c>
      <c r="I1455" t="s">
        <v>1270</v>
      </c>
      <c r="J1455" t="s">
        <v>1640</v>
      </c>
    </row>
    <row r="1456" spans="2:10">
      <c r="B1456" t="s">
        <v>1656</v>
      </c>
    </row>
    <row r="1457" spans="2:3">
      <c r="C1457" t="s">
        <v>1657</v>
      </c>
    </row>
    <row r="1458" spans="2:3">
      <c r="C1458" t="s">
        <v>1662</v>
      </c>
    </row>
    <row r="1459" spans="2:3">
      <c r="C1459" t="s">
        <v>1658</v>
      </c>
    </row>
    <row r="1460" spans="2:3">
      <c r="C1460" t="s">
        <v>1659</v>
      </c>
    </row>
    <row r="1461" spans="2:3">
      <c r="B1461" t="s">
        <v>1660</v>
      </c>
    </row>
    <row r="1462" spans="2:3">
      <c r="B1462" t="s">
        <v>1663</v>
      </c>
    </row>
    <row r="1464" spans="2:3">
      <c r="B1464" t="s">
        <v>1666</v>
      </c>
    </row>
    <row r="1466" spans="2:3">
      <c r="B1466" s="17" t="s">
        <v>876</v>
      </c>
    </row>
    <row r="1467" spans="2:3">
      <c r="B1467" t="s">
        <v>1669</v>
      </c>
    </row>
    <row r="1468" spans="2:3">
      <c r="B1468" t="s">
        <v>1670</v>
      </c>
    </row>
    <row r="1469" spans="2:3">
      <c r="B1469" t="s">
        <v>1671</v>
      </c>
    </row>
    <row r="1470" spans="2:3">
      <c r="B1470" t="s">
        <v>1672</v>
      </c>
    </row>
    <row r="1472" spans="2:3">
      <c r="B1472" t="s">
        <v>1673</v>
      </c>
    </row>
    <row r="1474" spans="2:5">
      <c r="B1474" t="s">
        <v>1674</v>
      </c>
    </row>
    <row r="1475" spans="2:5">
      <c r="C1475" t="s">
        <v>1677</v>
      </c>
    </row>
    <row r="1476" spans="2:5">
      <c r="C1476" t="s">
        <v>1679</v>
      </c>
      <c r="D1476" t="s">
        <v>1678</v>
      </c>
    </row>
    <row r="1477" spans="2:5">
      <c r="D1477" s="397">
        <v>2015</v>
      </c>
    </row>
    <row r="1478" spans="2:5">
      <c r="C1478" t="s">
        <v>1685</v>
      </c>
      <c r="D1478" t="s">
        <v>1680</v>
      </c>
      <c r="E1478" t="s">
        <v>1681</v>
      </c>
    </row>
    <row r="1479" spans="2:5">
      <c r="D1479" t="s">
        <v>1682</v>
      </c>
    </row>
    <row r="1480" spans="2:5">
      <c r="C1480" t="s">
        <v>30</v>
      </c>
      <c r="D1480" t="s">
        <v>1683</v>
      </c>
      <c r="E1480" t="s">
        <v>1684</v>
      </c>
    </row>
    <row r="1481" spans="2:5">
      <c r="D1481" s="148">
        <f>450+250</f>
        <v>700</v>
      </c>
    </row>
    <row r="1482" spans="2:5">
      <c r="B1482" t="s">
        <v>1699</v>
      </c>
      <c r="D1482" s="148"/>
    </row>
    <row r="1483" spans="2:5">
      <c r="C1483" t="s">
        <v>1703</v>
      </c>
      <c r="D1483" s="148"/>
    </row>
    <row r="1484" spans="2:5">
      <c r="D1484" s="148"/>
    </row>
    <row r="1485" spans="2:5">
      <c r="B1485" s="397">
        <v>2016</v>
      </c>
    </row>
    <row r="1486" spans="2:5">
      <c r="B1486" t="s">
        <v>1676</v>
      </c>
    </row>
    <row r="1487" spans="2:5">
      <c r="B1487" t="s">
        <v>1675</v>
      </c>
    </row>
    <row r="1489" spans="2:4">
      <c r="B1489" s="17" t="s">
        <v>1686</v>
      </c>
    </row>
    <row r="1490" spans="2:4">
      <c r="B1490" t="s">
        <v>1687</v>
      </c>
    </row>
    <row r="1491" spans="2:4">
      <c r="B1491" t="s">
        <v>1689</v>
      </c>
    </row>
    <row r="1492" spans="2:4">
      <c r="B1492" t="s">
        <v>1688</v>
      </c>
    </row>
    <row r="1493" spans="2:4">
      <c r="B1493" t="s">
        <v>1690</v>
      </c>
    </row>
    <row r="1494" spans="2:4">
      <c r="B1494" t="s">
        <v>1691</v>
      </c>
    </row>
    <row r="1495" spans="2:4">
      <c r="B1495" t="s">
        <v>1692</v>
      </c>
    </row>
    <row r="1496" spans="2:4">
      <c r="B1496" t="s">
        <v>1693</v>
      </c>
    </row>
    <row r="1497" spans="2:4">
      <c r="B1497" t="s">
        <v>1694</v>
      </c>
    </row>
    <row r="1498" spans="2:4">
      <c r="C1498" t="s">
        <v>38</v>
      </c>
      <c r="D1498" t="s">
        <v>38</v>
      </c>
    </row>
    <row r="1499" spans="2:4">
      <c r="B1499" s="17" t="s">
        <v>181</v>
      </c>
    </row>
    <row r="1500" spans="2:4">
      <c r="B1500" t="s">
        <v>1698</v>
      </c>
    </row>
    <row r="1501" spans="2:4">
      <c r="B1501" t="s">
        <v>1695</v>
      </c>
    </row>
    <row r="1502" spans="2:4">
      <c r="B1502" t="s">
        <v>1697</v>
      </c>
    </row>
    <row r="1503" spans="2:4">
      <c r="B1503" t="s">
        <v>1696</v>
      </c>
    </row>
    <row r="1505" spans="2:4">
      <c r="B1505" t="s">
        <v>1704</v>
      </c>
    </row>
    <row r="1506" spans="2:4">
      <c r="B1506" t="s">
        <v>1705</v>
      </c>
    </row>
    <row r="1508" spans="2:4">
      <c r="B1508" t="s">
        <v>1700</v>
      </c>
    </row>
    <row r="1509" spans="2:4">
      <c r="B1509" t="s">
        <v>1701</v>
      </c>
    </row>
    <row r="1510" spans="2:4">
      <c r="B1510" t="s">
        <v>1702</v>
      </c>
    </row>
    <row r="1512" spans="2:4">
      <c r="B1512" s="17" t="s">
        <v>1708</v>
      </c>
    </row>
    <row r="1513" spans="2:4">
      <c r="B1513" s="143"/>
      <c r="C1513" s="406" t="s">
        <v>1395</v>
      </c>
      <c r="D1513" s="406" t="s">
        <v>1708</v>
      </c>
    </row>
    <row r="1514" spans="2:4">
      <c r="B1514" s="142" t="s">
        <v>132</v>
      </c>
      <c r="C1514" s="144">
        <v>5600</v>
      </c>
      <c r="D1514" s="144">
        <f>C1514*0.95</f>
        <v>5320</v>
      </c>
    </row>
    <row r="1515" spans="2:4">
      <c r="B1515" s="143" t="s">
        <v>30</v>
      </c>
      <c r="C1515" s="145">
        <v>2400</v>
      </c>
      <c r="D1515" s="145">
        <f>C1515*0.5</f>
        <v>1200</v>
      </c>
    </row>
    <row r="1516" spans="2:4">
      <c r="B1516" s="142" t="s">
        <v>68</v>
      </c>
      <c r="C1516" s="144">
        <f>SUM(C1514:C1515)</f>
        <v>8000</v>
      </c>
      <c r="D1516" s="144">
        <f>SUM(D1514:D1515)</f>
        <v>6520</v>
      </c>
    </row>
    <row r="1518" spans="2:4">
      <c r="B1518" s="17" t="s">
        <v>1635</v>
      </c>
    </row>
    <row r="1520" spans="2:4">
      <c r="B1520" t="s">
        <v>1636</v>
      </c>
    </row>
    <row r="1521" spans="2:3">
      <c r="C1521" t="s">
        <v>1637</v>
      </c>
    </row>
    <row r="1522" spans="2:3">
      <c r="C1522" t="s">
        <v>1638</v>
      </c>
    </row>
    <row r="1525" spans="2:3">
      <c r="B1525" s="17" t="s">
        <v>1558</v>
      </c>
    </row>
    <row r="1527" spans="2:3">
      <c r="B1527" s="17" t="s">
        <v>1568</v>
      </c>
    </row>
    <row r="1528" spans="2:3">
      <c r="B1528" s="17"/>
    </row>
    <row r="1529" spans="2:3">
      <c r="B1529" t="s">
        <v>1575</v>
      </c>
    </row>
    <row r="1530" spans="2:3">
      <c r="B1530" t="s">
        <v>1578</v>
      </c>
    </row>
    <row r="1531" spans="2:3">
      <c r="B1531" t="s">
        <v>1559</v>
      </c>
    </row>
    <row r="1532" spans="2:3">
      <c r="C1532" t="s">
        <v>1564</v>
      </c>
    </row>
    <row r="1534" spans="2:3">
      <c r="B1534" t="s">
        <v>1571</v>
      </c>
    </row>
    <row r="1535" spans="2:3">
      <c r="C1535" t="s">
        <v>1572</v>
      </c>
    </row>
    <row r="1536" spans="2:3">
      <c r="B1536" t="s">
        <v>1592</v>
      </c>
    </row>
    <row r="1538" spans="2:3">
      <c r="B1538" t="s">
        <v>1560</v>
      </c>
    </row>
    <row r="1539" spans="2:3">
      <c r="C1539" t="s">
        <v>1576</v>
      </c>
    </row>
    <row r="1540" spans="2:3">
      <c r="C1540" t="s">
        <v>1577</v>
      </c>
    </row>
    <row r="1542" spans="2:3">
      <c r="B1542" t="s">
        <v>1561</v>
      </c>
    </row>
    <row r="1543" spans="2:3">
      <c r="C1543" t="s">
        <v>1562</v>
      </c>
    </row>
    <row r="1544" spans="2:3">
      <c r="B1544" t="s">
        <v>1563</v>
      </c>
    </row>
    <row r="1545" spans="2:3">
      <c r="B1545" t="s">
        <v>1621</v>
      </c>
    </row>
    <row r="1548" spans="2:3">
      <c r="B1548" s="17" t="s">
        <v>1567</v>
      </c>
    </row>
    <row r="1549" spans="2:3">
      <c r="B1549" t="s">
        <v>1565</v>
      </c>
      <c r="C1549" t="s">
        <v>1570</v>
      </c>
    </row>
    <row r="1550" spans="2:3">
      <c r="B1550" t="s">
        <v>1566</v>
      </c>
      <c r="C1550" t="s">
        <v>1569</v>
      </c>
    </row>
    <row r="1551" spans="2:3">
      <c r="B1551" t="s">
        <v>1573</v>
      </c>
      <c r="C1551" t="s">
        <v>1574</v>
      </c>
    </row>
    <row r="1553" spans="2:3">
      <c r="B1553" t="s">
        <v>1579</v>
      </c>
    </row>
    <row r="1555" spans="2:3">
      <c r="B1555" t="s">
        <v>1580</v>
      </c>
    </row>
    <row r="1557" spans="2:3">
      <c r="B1557" t="s">
        <v>1581</v>
      </c>
    </row>
    <row r="1558" spans="2:3">
      <c r="B1558" t="s">
        <v>1582</v>
      </c>
    </row>
    <row r="1559" spans="2:3">
      <c r="B1559" t="s">
        <v>1583</v>
      </c>
    </row>
    <row r="1561" spans="2:3">
      <c r="B1561" s="17" t="s">
        <v>876</v>
      </c>
    </row>
    <row r="1562" spans="2:3">
      <c r="B1562" t="s">
        <v>1584</v>
      </c>
    </row>
    <row r="1563" spans="2:3">
      <c r="C1563" t="s">
        <v>1707</v>
      </c>
    </row>
    <row r="1564" spans="2:3">
      <c r="C1564" t="s">
        <v>1585</v>
      </c>
    </row>
    <row r="1566" spans="2:3">
      <c r="B1566" t="s">
        <v>1145</v>
      </c>
      <c r="C1566" t="s">
        <v>1586</v>
      </c>
    </row>
    <row r="1568" spans="2:3">
      <c r="B1568" t="s">
        <v>1588</v>
      </c>
    </row>
    <row r="1569" spans="2:4">
      <c r="C1569" t="s">
        <v>1589</v>
      </c>
    </row>
    <row r="1570" spans="2:4">
      <c r="B1570" t="s">
        <v>1587</v>
      </c>
    </row>
    <row r="1571" spans="2:4">
      <c r="C1571" t="s">
        <v>1590</v>
      </c>
    </row>
    <row r="1572" spans="2:4">
      <c r="C1572" t="s">
        <v>1591</v>
      </c>
    </row>
    <row r="1573" spans="2:4">
      <c r="C1573" t="s">
        <v>1593</v>
      </c>
    </row>
    <row r="1574" spans="2:4">
      <c r="D1574" t="s">
        <v>1596</v>
      </c>
    </row>
    <row r="1575" spans="2:4">
      <c r="D1575" t="s">
        <v>1597</v>
      </c>
    </row>
    <row r="1576" spans="2:4">
      <c r="B1576" t="s">
        <v>1594</v>
      </c>
      <c r="C1576" t="s">
        <v>1595</v>
      </c>
    </row>
    <row r="1578" spans="2:4">
      <c r="B1578" t="s">
        <v>1598</v>
      </c>
    </row>
    <row r="1580" spans="2:4">
      <c r="B1580" t="s">
        <v>1599</v>
      </c>
    </row>
    <row r="1581" spans="2:4">
      <c r="C1581" t="s">
        <v>1600</v>
      </c>
    </row>
    <row r="1582" spans="2:4">
      <c r="C1582" t="s">
        <v>1601</v>
      </c>
    </row>
    <row r="1583" spans="2:4">
      <c r="D1583" t="s">
        <v>1602</v>
      </c>
    </row>
    <row r="1584" spans="2:4">
      <c r="D1584" t="s">
        <v>1603</v>
      </c>
    </row>
    <row r="1585" spans="2:4">
      <c r="C1585" t="s">
        <v>1604</v>
      </c>
    </row>
    <row r="1586" spans="2:4">
      <c r="B1586" t="s">
        <v>1605</v>
      </c>
    </row>
    <row r="1587" spans="2:4">
      <c r="C1587" t="s">
        <v>1606</v>
      </c>
    </row>
    <row r="1588" spans="2:4">
      <c r="C1588" t="s">
        <v>1607</v>
      </c>
    </row>
    <row r="1590" spans="2:4">
      <c r="B1590" t="s">
        <v>1608</v>
      </c>
    </row>
    <row r="1591" spans="2:4">
      <c r="C1591" t="s">
        <v>1609</v>
      </c>
    </row>
    <row r="1592" spans="2:4">
      <c r="D1592" t="s">
        <v>1610</v>
      </c>
    </row>
    <row r="1593" spans="2:4">
      <c r="B1593" t="s">
        <v>1611</v>
      </c>
    </row>
    <row r="1594" spans="2:4">
      <c r="C1594" t="s">
        <v>1614</v>
      </c>
    </row>
    <row r="1595" spans="2:4">
      <c r="D1595" t="s">
        <v>1616</v>
      </c>
    </row>
    <row r="1596" spans="2:4">
      <c r="C1596" t="s">
        <v>1612</v>
      </c>
    </row>
    <row r="1597" spans="2:4">
      <c r="D1597" t="s">
        <v>1615</v>
      </c>
    </row>
    <row r="1598" spans="2:4">
      <c r="D1598" t="s">
        <v>1617</v>
      </c>
    </row>
    <row r="1599" spans="2:4">
      <c r="C1599" t="s">
        <v>1613</v>
      </c>
    </row>
    <row r="1601" spans="2:3">
      <c r="B1601" t="s">
        <v>1618</v>
      </c>
    </row>
    <row r="1602" spans="2:3">
      <c r="C1602" t="s">
        <v>1619</v>
      </c>
    </row>
    <row r="1603" spans="2:3">
      <c r="C1603" t="s">
        <v>1620</v>
      </c>
    </row>
    <row r="1605" spans="2:3">
      <c r="B1605" s="17" t="s">
        <v>1269</v>
      </c>
    </row>
    <row r="1606" spans="2:3">
      <c r="B1606" t="s">
        <v>1363</v>
      </c>
    </row>
    <row r="1607" spans="2:3">
      <c r="B1607" t="s">
        <v>1365</v>
      </c>
    </row>
    <row r="1608" spans="2:3">
      <c r="B1608" t="s">
        <v>1366</v>
      </c>
    </row>
    <row r="1610" spans="2:3">
      <c r="B1610" t="s">
        <v>1364</v>
      </c>
    </row>
    <row r="1611" spans="2:3">
      <c r="B1611" t="s">
        <v>1367</v>
      </c>
    </row>
    <row r="1612" spans="2:3">
      <c r="B1612" t="s">
        <v>1369</v>
      </c>
    </row>
    <row r="1613" spans="2:3">
      <c r="C1613" t="s">
        <v>1368</v>
      </c>
    </row>
    <row r="1615" spans="2:3">
      <c r="B1615" s="17" t="s">
        <v>876</v>
      </c>
    </row>
    <row r="1616" spans="2:3">
      <c r="B1616" s="17" t="s">
        <v>30</v>
      </c>
    </row>
    <row r="1617" spans="2:3">
      <c r="B1617" t="s">
        <v>1370</v>
      </c>
    </row>
    <row r="1618" spans="2:3">
      <c r="B1618" t="s">
        <v>1371</v>
      </c>
    </row>
    <row r="1620" spans="2:3">
      <c r="B1620" t="s">
        <v>1372</v>
      </c>
    </row>
    <row r="1621" spans="2:3">
      <c r="B1621" t="s">
        <v>1373</v>
      </c>
    </row>
    <row r="1622" spans="2:3">
      <c r="B1622" t="s">
        <v>1374</v>
      </c>
    </row>
    <row r="1624" spans="2:3">
      <c r="B1624" s="17" t="s">
        <v>1305</v>
      </c>
    </row>
    <row r="1626" spans="2:3">
      <c r="B1626" s="17" t="s">
        <v>30</v>
      </c>
    </row>
    <row r="1627" spans="2:3">
      <c r="B1627" t="s">
        <v>1306</v>
      </c>
      <c r="C1627" t="s">
        <v>1307</v>
      </c>
    </row>
    <row r="1628" spans="2:3">
      <c r="B1628" t="s">
        <v>1308</v>
      </c>
    </row>
    <row r="1629" spans="2:3">
      <c r="B1629" t="s">
        <v>1309</v>
      </c>
    </row>
    <row r="1630" spans="2:3">
      <c r="B1630" t="s">
        <v>1310</v>
      </c>
    </row>
    <row r="1631" spans="2:3">
      <c r="B1631" t="s">
        <v>1311</v>
      </c>
    </row>
    <row r="1632" spans="2:3">
      <c r="B1632" t="s">
        <v>1317</v>
      </c>
    </row>
    <row r="1633" spans="2:14">
      <c r="B1633" t="s">
        <v>1315</v>
      </c>
    </row>
    <row r="1634" spans="2:14">
      <c r="C1634" t="s">
        <v>1316</v>
      </c>
    </row>
    <row r="1635" spans="2:14">
      <c r="B1635" t="s">
        <v>1312</v>
      </c>
    </row>
    <row r="1636" spans="2:14">
      <c r="B1636" t="s">
        <v>1313</v>
      </c>
    </row>
    <row r="1637" spans="2:14">
      <c r="B1637" t="s">
        <v>1314</v>
      </c>
    </row>
    <row r="1638" spans="2:14">
      <c r="B1638" t="s">
        <v>1318</v>
      </c>
    </row>
    <row r="1639" spans="2:14">
      <c r="B1639" t="s">
        <v>1319</v>
      </c>
    </row>
    <row r="1640" spans="2:14">
      <c r="C1640" t="s">
        <v>1320</v>
      </c>
    </row>
    <row r="1641" spans="2:14">
      <c r="H1641" s="108" t="s">
        <v>1361</v>
      </c>
      <c r="I1641" s="108" t="s">
        <v>1357</v>
      </c>
      <c r="J1641" s="108" t="s">
        <v>1358</v>
      </c>
      <c r="K1641" s="108" t="s">
        <v>1359</v>
      </c>
      <c r="L1641" s="108" t="s">
        <v>1360</v>
      </c>
    </row>
    <row r="1642" spans="2:14">
      <c r="C1642" t="s">
        <v>1321</v>
      </c>
      <c r="D1642" t="s">
        <v>1322</v>
      </c>
      <c r="F1642" s="164">
        <v>5</v>
      </c>
      <c r="H1642" t="s">
        <v>133</v>
      </c>
      <c r="I1642" s="16">
        <v>4.0999999999999996</v>
      </c>
      <c r="J1642">
        <v>1.76</v>
      </c>
      <c r="K1642">
        <v>1.76</v>
      </c>
      <c r="L1642">
        <v>1.76</v>
      </c>
    </row>
    <row r="1643" spans="2:14">
      <c r="C1643" t="s">
        <v>1323</v>
      </c>
      <c r="D1643" t="s">
        <v>1324</v>
      </c>
      <c r="F1643" s="164">
        <v>4.5999999999999996</v>
      </c>
      <c r="H1643" t="s">
        <v>1356</v>
      </c>
      <c r="I1643" s="108">
        <v>4.7300000000000004</v>
      </c>
      <c r="J1643" s="108">
        <v>3.25</v>
      </c>
      <c r="K1643" s="108">
        <v>2.63</v>
      </c>
      <c r="L1643" s="108">
        <v>2.0099999999999998</v>
      </c>
    </row>
    <row r="1644" spans="2:14">
      <c r="B1644" t="s">
        <v>1327</v>
      </c>
      <c r="C1644" t="s">
        <v>1328</v>
      </c>
      <c r="D1644" t="s">
        <v>1325</v>
      </c>
      <c r="F1644" s="164"/>
      <c r="H1644" t="s">
        <v>1362</v>
      </c>
      <c r="I1644" s="57">
        <f>I1642/I1643-1</f>
        <v>-0.13319238900634267</v>
      </c>
      <c r="J1644" s="57">
        <f>J1642/J1643-1</f>
        <v>-0.45846153846153848</v>
      </c>
      <c r="K1644" s="57">
        <f>K1642/K1643-1</f>
        <v>-0.33079847908745241</v>
      </c>
      <c r="L1644" s="57">
        <f>L1642/L1643-1</f>
        <v>-0.1243781094527362</v>
      </c>
    </row>
    <row r="1645" spans="2:14">
      <c r="C1645" t="s">
        <v>1326</v>
      </c>
    </row>
    <row r="1646" spans="2:14">
      <c r="B1646" t="s">
        <v>1329</v>
      </c>
    </row>
    <row r="1647" spans="2:14">
      <c r="B1647" t="s">
        <v>1330</v>
      </c>
      <c r="L1647" s="395" t="s">
        <v>1395</v>
      </c>
      <c r="M1647" s="394">
        <v>41518</v>
      </c>
      <c r="N1647" s="141" t="s">
        <v>1357</v>
      </c>
    </row>
    <row r="1648" spans="2:14">
      <c r="B1648" t="s">
        <v>1331</v>
      </c>
      <c r="L1648" t="s">
        <v>133</v>
      </c>
      <c r="M1648" s="166">
        <v>800</v>
      </c>
      <c r="N1648" s="166">
        <v>1700</v>
      </c>
    </row>
    <row r="1649" spans="2:14">
      <c r="C1649" t="s">
        <v>1332</v>
      </c>
      <c r="L1649" t="s">
        <v>936</v>
      </c>
      <c r="M1649" s="166"/>
      <c r="N1649" s="166">
        <v>3250</v>
      </c>
    </row>
    <row r="1650" spans="2:14">
      <c r="C1650" t="s">
        <v>1333</v>
      </c>
      <c r="L1650" t="s">
        <v>134</v>
      </c>
      <c r="M1650" s="166"/>
      <c r="N1650" s="166">
        <v>3750</v>
      </c>
    </row>
    <row r="1651" spans="2:14">
      <c r="C1651" t="s">
        <v>1334</v>
      </c>
    </row>
    <row r="1653" spans="2:14">
      <c r="B1653" s="17" t="s">
        <v>132</v>
      </c>
    </row>
    <row r="1654" spans="2:14">
      <c r="B1654" t="s">
        <v>137</v>
      </c>
      <c r="C1654" t="s">
        <v>1335</v>
      </c>
    </row>
    <row r="1655" spans="2:14">
      <c r="C1655" t="s">
        <v>1336</v>
      </c>
      <c r="D1655" t="s">
        <v>1338</v>
      </c>
    </row>
    <row r="1656" spans="2:14">
      <c r="D1656" t="s">
        <v>1339</v>
      </c>
    </row>
    <row r="1657" spans="2:14">
      <c r="D1657" t="s">
        <v>1340</v>
      </c>
    </row>
    <row r="1658" spans="2:14">
      <c r="D1658" t="s">
        <v>1341</v>
      </c>
    </row>
    <row r="1659" spans="2:14">
      <c r="D1659" t="s">
        <v>1342</v>
      </c>
    </row>
    <row r="1660" spans="2:14">
      <c r="D1660" t="s">
        <v>1343</v>
      </c>
    </row>
    <row r="1661" spans="2:14">
      <c r="C1661" t="s">
        <v>1344</v>
      </c>
    </row>
    <row r="1662" spans="2:14">
      <c r="C1662" t="s">
        <v>1345</v>
      </c>
    </row>
    <row r="1663" spans="2:14">
      <c r="C1663" t="s">
        <v>1337</v>
      </c>
    </row>
    <row r="1664" spans="2:14">
      <c r="B1664" t="s">
        <v>1346</v>
      </c>
    </row>
    <row r="1665" spans="2:3">
      <c r="B1665" s="351">
        <v>42135</v>
      </c>
      <c r="C1665" t="s">
        <v>1347</v>
      </c>
    </row>
    <row r="1667" spans="2:3">
      <c r="B1667" s="17" t="s">
        <v>1191</v>
      </c>
    </row>
    <row r="1668" spans="2:3">
      <c r="B1668" t="s">
        <v>1204</v>
      </c>
    </row>
    <row r="1669" spans="2:3">
      <c r="B1669" t="s">
        <v>1205</v>
      </c>
    </row>
    <row r="1670" spans="2:3">
      <c r="C1670" t="s">
        <v>1206</v>
      </c>
    </row>
    <row r="1671" spans="2:3">
      <c r="B1671" t="s">
        <v>1207</v>
      </c>
    </row>
    <row r="1672" spans="2:3">
      <c r="B1672" t="s">
        <v>1208</v>
      </c>
    </row>
    <row r="1673" spans="2:3">
      <c r="B1673" t="s">
        <v>1209</v>
      </c>
    </row>
    <row r="1674" spans="2:3">
      <c r="B1674" t="s">
        <v>1210</v>
      </c>
    </row>
    <row r="1676" spans="2:3">
      <c r="B1676" s="17" t="s">
        <v>876</v>
      </c>
    </row>
    <row r="1677" spans="2:3">
      <c r="B1677" t="s">
        <v>1211</v>
      </c>
    </row>
    <row r="1679" spans="2:3">
      <c r="B1679" t="s">
        <v>1212</v>
      </c>
    </row>
    <row r="1680" spans="2:3">
      <c r="C1680" t="s">
        <v>1213</v>
      </c>
    </row>
    <row r="1681" spans="2:4">
      <c r="C1681" t="s">
        <v>1214</v>
      </c>
    </row>
    <row r="1682" spans="2:4">
      <c r="C1682" t="s">
        <v>1215</v>
      </c>
    </row>
    <row r="1683" spans="2:4">
      <c r="C1683" t="s">
        <v>1216</v>
      </c>
    </row>
    <row r="1684" spans="2:4">
      <c r="D1684" t="s">
        <v>1217</v>
      </c>
    </row>
    <row r="1686" spans="2:4">
      <c r="B1686" t="s">
        <v>1186</v>
      </c>
    </row>
    <row r="1687" spans="2:4">
      <c r="C1687" t="s">
        <v>1221</v>
      </c>
    </row>
    <row r="1688" spans="2:4">
      <c r="D1688" t="s">
        <v>1220</v>
      </c>
    </row>
    <row r="1689" spans="2:4">
      <c r="C1689" t="s">
        <v>1218</v>
      </c>
    </row>
    <row r="1690" spans="2:4">
      <c r="C1690" t="s">
        <v>1219</v>
      </c>
    </row>
    <row r="1691" spans="2:4">
      <c r="C1691" t="s">
        <v>1223</v>
      </c>
    </row>
    <row r="1692" spans="2:4">
      <c r="C1692" t="s">
        <v>1224</v>
      </c>
    </row>
    <row r="1694" spans="2:4">
      <c r="B1694" t="s">
        <v>1222</v>
      </c>
    </row>
    <row r="1698" spans="2:7">
      <c r="B1698" s="17" t="s">
        <v>1106</v>
      </c>
    </row>
    <row r="1700" spans="2:7">
      <c r="B1700" t="s">
        <v>1116</v>
      </c>
    </row>
    <row r="1702" spans="2:7">
      <c r="B1702" t="s">
        <v>1110</v>
      </c>
    </row>
    <row r="1703" spans="2:7">
      <c r="C1703" t="s">
        <v>1111</v>
      </c>
    </row>
    <row r="1704" spans="2:7">
      <c r="C1704" t="s">
        <v>1112</v>
      </c>
    </row>
    <row r="1705" spans="2:7">
      <c r="D1705" t="s">
        <v>1113</v>
      </c>
      <c r="G1705" t="s">
        <v>1122</v>
      </c>
    </row>
    <row r="1707" spans="2:7">
      <c r="B1707" t="s">
        <v>1114</v>
      </c>
    </row>
    <row r="1709" spans="2:7">
      <c r="E1709" t="s">
        <v>1117</v>
      </c>
    </row>
    <row r="1710" spans="2:7">
      <c r="E1710" t="s">
        <v>1115</v>
      </c>
    </row>
    <row r="1711" spans="2:7">
      <c r="E1711" t="s">
        <v>1129</v>
      </c>
    </row>
    <row r="1713" spans="1:3">
      <c r="B1713" s="17" t="s">
        <v>876</v>
      </c>
    </row>
    <row r="1714" spans="1:3">
      <c r="B1714" s="17"/>
    </row>
    <row r="1715" spans="1:3">
      <c r="B1715" s="17" t="s">
        <v>137</v>
      </c>
    </row>
    <row r="1716" spans="1:3">
      <c r="B1716" t="s">
        <v>1118</v>
      </c>
      <c r="C1716" t="s">
        <v>1119</v>
      </c>
    </row>
    <row r="1717" spans="1:3">
      <c r="B1717" t="s">
        <v>1120</v>
      </c>
      <c r="C1717" t="s">
        <v>1121</v>
      </c>
    </row>
    <row r="1719" spans="1:3">
      <c r="B1719" t="s">
        <v>1123</v>
      </c>
    </row>
    <row r="1721" spans="1:3">
      <c r="B1721" t="s">
        <v>1124</v>
      </c>
    </row>
    <row r="1722" spans="1:3">
      <c r="C1722" t="s">
        <v>1125</v>
      </c>
    </row>
    <row r="1723" spans="1:3">
      <c r="A1723" t="s">
        <v>38</v>
      </c>
    </row>
    <row r="1724" spans="1:3">
      <c r="B1724" t="s">
        <v>1126</v>
      </c>
    </row>
    <row r="1725" spans="1:3">
      <c r="C1725" t="s">
        <v>1148</v>
      </c>
    </row>
    <row r="1726" spans="1:3">
      <c r="C1726" t="s">
        <v>1149</v>
      </c>
    </row>
    <row r="1728" spans="1:3">
      <c r="B1728" t="s">
        <v>1142</v>
      </c>
    </row>
    <row r="1729" spans="2:3">
      <c r="C1729" t="s">
        <v>1143</v>
      </c>
    </row>
    <row r="1731" spans="2:3">
      <c r="B1731" t="s">
        <v>1144</v>
      </c>
    </row>
    <row r="1732" spans="2:3">
      <c r="C1732" t="s">
        <v>1150</v>
      </c>
    </row>
    <row r="1733" spans="2:3">
      <c r="C1733" t="s">
        <v>1151</v>
      </c>
    </row>
    <row r="1734" spans="2:3">
      <c r="C1734" t="s">
        <v>1152</v>
      </c>
    </row>
    <row r="1736" spans="2:3">
      <c r="B1736" t="s">
        <v>1145</v>
      </c>
    </row>
    <row r="1737" spans="2:3">
      <c r="C1737" t="s">
        <v>1146</v>
      </c>
    </row>
    <row r="1738" spans="2:3">
      <c r="C1738" t="s">
        <v>1147</v>
      </c>
    </row>
    <row r="1740" spans="2:3">
      <c r="B1740" t="s">
        <v>1153</v>
      </c>
    </row>
    <row r="1741" spans="2:3">
      <c r="C1741" t="s">
        <v>1154</v>
      </c>
    </row>
    <row r="1742" spans="2:3">
      <c r="C1742" t="s">
        <v>1155</v>
      </c>
    </row>
    <row r="1744" spans="2:3">
      <c r="B1744" t="s">
        <v>30</v>
      </c>
      <c r="C1744" t="s">
        <v>1156</v>
      </c>
    </row>
    <row r="1745" spans="2:3">
      <c r="C1745" t="s">
        <v>1157</v>
      </c>
    </row>
    <row r="1747" spans="2:3">
      <c r="B1747" s="17" t="s">
        <v>30</v>
      </c>
    </row>
    <row r="1748" spans="2:3">
      <c r="B1748" t="s">
        <v>1127</v>
      </c>
    </row>
    <row r="1749" spans="2:3">
      <c r="B1749" t="s">
        <v>1128</v>
      </c>
    </row>
    <row r="1750" spans="2:3">
      <c r="B1750" t="s">
        <v>1131</v>
      </c>
    </row>
    <row r="1751" spans="2:3">
      <c r="C1751" t="s">
        <v>1132</v>
      </c>
    </row>
    <row r="1752" spans="2:3">
      <c r="C1752" t="s">
        <v>1133</v>
      </c>
    </row>
    <row r="1753" spans="2:3">
      <c r="B1753" t="s">
        <v>1130</v>
      </c>
    </row>
    <row r="1754" spans="2:3">
      <c r="B1754" t="s">
        <v>1134</v>
      </c>
    </row>
    <row r="1755" spans="2:3">
      <c r="B1755" t="s">
        <v>1158</v>
      </c>
    </row>
    <row r="1757" spans="2:3">
      <c r="B1757" s="17" t="s">
        <v>132</v>
      </c>
    </row>
    <row r="1758" spans="2:3">
      <c r="B1758" t="s">
        <v>1135</v>
      </c>
    </row>
    <row r="1759" spans="2:3">
      <c r="C1759" t="s">
        <v>1136</v>
      </c>
    </row>
    <row r="1760" spans="2:3">
      <c r="B1760" t="s">
        <v>1137</v>
      </c>
    </row>
    <row r="1762" spans="2:3">
      <c r="B1762" t="s">
        <v>1138</v>
      </c>
    </row>
    <row r="1763" spans="2:3">
      <c r="C1763" t="s">
        <v>1139</v>
      </c>
    </row>
    <row r="1765" spans="2:3">
      <c r="B1765" t="s">
        <v>1140</v>
      </c>
    </row>
    <row r="1766" spans="2:3">
      <c r="C1766" t="s">
        <v>1141</v>
      </c>
    </row>
    <row r="1768" spans="2:3">
      <c r="B1768" s="17" t="s">
        <v>1071</v>
      </c>
    </row>
    <row r="1770" spans="2:3">
      <c r="B1770" t="s">
        <v>1072</v>
      </c>
    </row>
    <row r="1771" spans="2:3">
      <c r="B1771" t="s">
        <v>1076</v>
      </c>
    </row>
    <row r="1772" spans="2:3">
      <c r="C1772" t="s">
        <v>1077</v>
      </c>
    </row>
    <row r="1773" spans="2:3">
      <c r="B1773" t="s">
        <v>1073</v>
      </c>
    </row>
    <row r="1774" spans="2:3">
      <c r="B1774" t="s">
        <v>1074</v>
      </c>
    </row>
    <row r="1775" spans="2:3">
      <c r="B1775" t="s">
        <v>1075</v>
      </c>
    </row>
    <row r="1776" spans="2:3">
      <c r="B1776" t="s">
        <v>1079</v>
      </c>
    </row>
    <row r="1778" spans="2:2">
      <c r="B1778" s="17" t="s">
        <v>1083</v>
      </c>
    </row>
    <row r="1779" spans="2:2">
      <c r="B1779" t="s">
        <v>1084</v>
      </c>
    </row>
    <row r="1780" spans="2:2">
      <c r="B1780" t="s">
        <v>1085</v>
      </c>
    </row>
    <row r="1781" spans="2:2">
      <c r="B1781" t="s">
        <v>1086</v>
      </c>
    </row>
    <row r="1783" spans="2:2">
      <c r="B1783" t="s">
        <v>1087</v>
      </c>
    </row>
    <row r="1784" spans="2:2">
      <c r="B1784" t="s">
        <v>1097</v>
      </c>
    </row>
    <row r="1785" spans="2:2">
      <c r="B1785" t="s">
        <v>1098</v>
      </c>
    </row>
    <row r="1787" spans="2:2">
      <c r="B1787" s="17" t="s">
        <v>822</v>
      </c>
    </row>
    <row r="1788" spans="2:2">
      <c r="B1788" t="s">
        <v>1088</v>
      </c>
    </row>
    <row r="1789" spans="2:2">
      <c r="B1789" t="s">
        <v>1089</v>
      </c>
    </row>
    <row r="1790" spans="2:2">
      <c r="B1790" t="s">
        <v>1099</v>
      </c>
    </row>
    <row r="1792" spans="2:2">
      <c r="B1792" s="17" t="s">
        <v>30</v>
      </c>
    </row>
    <row r="1793" spans="2:3">
      <c r="B1793" t="s">
        <v>1090</v>
      </c>
    </row>
    <row r="1794" spans="2:3">
      <c r="B1794" t="s">
        <v>1091</v>
      </c>
    </row>
    <row r="1795" spans="2:3">
      <c r="C1795" t="s">
        <v>1092</v>
      </c>
    </row>
    <row r="1796" spans="2:3">
      <c r="C1796" t="s">
        <v>1093</v>
      </c>
    </row>
    <row r="1797" spans="2:3">
      <c r="B1797" t="s">
        <v>1094</v>
      </c>
    </row>
    <row r="1798" spans="2:3">
      <c r="B1798" t="s">
        <v>1095</v>
      </c>
    </row>
    <row r="1799" spans="2:3">
      <c r="B1799" t="s">
        <v>1103</v>
      </c>
    </row>
    <row r="1800" spans="2:3">
      <c r="B1800" t="s">
        <v>1104</v>
      </c>
    </row>
    <row r="1802" spans="2:3">
      <c r="B1802" s="17" t="s">
        <v>132</v>
      </c>
    </row>
    <row r="1803" spans="2:3">
      <c r="B1803" t="s">
        <v>1105</v>
      </c>
    </row>
    <row r="1805" spans="2:3">
      <c r="B1805" s="17" t="s">
        <v>124</v>
      </c>
    </row>
    <row r="1806" spans="2:3">
      <c r="B1806" t="s">
        <v>1100</v>
      </c>
    </row>
    <row r="1807" spans="2:3">
      <c r="B1807" s="17"/>
      <c r="C1807" t="s">
        <v>1101</v>
      </c>
    </row>
    <row r="1808" spans="2:3">
      <c r="B1808" s="17"/>
      <c r="C1808" t="s">
        <v>1102</v>
      </c>
    </row>
    <row r="1809" spans="2:10">
      <c r="B1809" s="17"/>
    </row>
    <row r="1811" spans="2:10">
      <c r="B1811" s="17" t="s">
        <v>984</v>
      </c>
      <c r="J1811" t="s">
        <v>1027</v>
      </c>
    </row>
    <row r="1813" spans="2:10">
      <c r="B1813" s="17" t="s">
        <v>822</v>
      </c>
    </row>
    <row r="1814" spans="2:10">
      <c r="C1814" s="351">
        <v>41664</v>
      </c>
    </row>
    <row r="1815" spans="2:10">
      <c r="C1815" t="s">
        <v>1013</v>
      </c>
      <c r="F1815">
        <f>175*530</f>
        <v>92750</v>
      </c>
      <c r="G1815" s="162">
        <f>F1815/'Master old'!O221</f>
        <v>5.6419677236865313E-2</v>
      </c>
    </row>
    <row r="1816" spans="2:10">
      <c r="C1816" t="s">
        <v>960</v>
      </c>
    </row>
    <row r="1817" spans="2:10">
      <c r="C1817" t="s">
        <v>1014</v>
      </c>
    </row>
    <row r="1818" spans="2:10">
      <c r="B1818" s="17" t="s">
        <v>961</v>
      </c>
    </row>
    <row r="1819" spans="2:10">
      <c r="C1819" t="s">
        <v>962</v>
      </c>
    </row>
    <row r="1820" spans="2:10">
      <c r="C1820" t="s">
        <v>963</v>
      </c>
    </row>
    <row r="1821" spans="2:10">
      <c r="C1821" t="s">
        <v>964</v>
      </c>
    </row>
    <row r="1822" spans="2:10">
      <c r="B1822" s="17" t="s">
        <v>67</v>
      </c>
    </row>
    <row r="1823" spans="2:10">
      <c r="C1823" t="s">
        <v>965</v>
      </c>
    </row>
    <row r="1824" spans="2:10">
      <c r="B1824" s="17" t="s">
        <v>94</v>
      </c>
    </row>
    <row r="1825" spans="2:6">
      <c r="C1825" t="s">
        <v>966</v>
      </c>
    </row>
    <row r="1826" spans="2:6">
      <c r="C1826" t="s">
        <v>972</v>
      </c>
    </row>
    <row r="1827" spans="2:6">
      <c r="B1827" s="17" t="s">
        <v>347</v>
      </c>
    </row>
    <row r="1828" spans="2:6">
      <c r="B1828" s="17"/>
      <c r="C1828" t="s">
        <v>988</v>
      </c>
    </row>
    <row r="1829" spans="2:6">
      <c r="B1829" s="17"/>
      <c r="D1829" s="249" t="s">
        <v>989</v>
      </c>
    </row>
    <row r="1830" spans="2:6">
      <c r="B1830" s="17"/>
      <c r="D1830" s="249" t="s">
        <v>990</v>
      </c>
    </row>
    <row r="1831" spans="2:6">
      <c r="B1831" s="17"/>
      <c r="D1831" s="249" t="s">
        <v>991</v>
      </c>
    </row>
    <row r="1832" spans="2:6">
      <c r="B1832" s="17"/>
      <c r="C1832" s="249" t="s">
        <v>1025</v>
      </c>
      <c r="D1832" s="249"/>
    </row>
    <row r="1833" spans="2:6">
      <c r="B1833" s="17"/>
      <c r="C1833" s="249" t="s">
        <v>1026</v>
      </c>
      <c r="D1833" s="249"/>
    </row>
    <row r="1834" spans="2:6">
      <c r="B1834" s="17"/>
      <c r="C1834" t="s">
        <v>971</v>
      </c>
    </row>
    <row r="1835" spans="2:6">
      <c r="B1835" s="17"/>
      <c r="C1835" t="s">
        <v>973</v>
      </c>
    </row>
    <row r="1836" spans="2:6">
      <c r="B1836" s="17"/>
      <c r="C1836" t="s">
        <v>974</v>
      </c>
    </row>
    <row r="1837" spans="2:6">
      <c r="B1837" s="17" t="s">
        <v>975</v>
      </c>
      <c r="F1837" t="s">
        <v>38</v>
      </c>
    </row>
    <row r="1838" spans="2:6">
      <c r="C1838" t="s">
        <v>976</v>
      </c>
    </row>
    <row r="1839" spans="2:6">
      <c r="C1839" s="249" t="s">
        <v>1015</v>
      </c>
    </row>
    <row r="1840" spans="2:6">
      <c r="C1840" s="249" t="s">
        <v>1017</v>
      </c>
    </row>
    <row r="1841" spans="1:4">
      <c r="C1841" t="s">
        <v>979</v>
      </c>
    </row>
    <row r="1842" spans="1:4">
      <c r="C1842" t="s">
        <v>980</v>
      </c>
    </row>
    <row r="1843" spans="1:4">
      <c r="D1843" t="s">
        <v>981</v>
      </c>
    </row>
    <row r="1844" spans="1:4">
      <c r="D1844" t="s">
        <v>982</v>
      </c>
    </row>
    <row r="1845" spans="1:4">
      <c r="D1845" t="s">
        <v>983</v>
      </c>
    </row>
    <row r="1846" spans="1:4">
      <c r="D1846" s="249" t="s">
        <v>985</v>
      </c>
    </row>
    <row r="1847" spans="1:4">
      <c r="C1847" t="s">
        <v>1001</v>
      </c>
      <c r="D1847" s="249"/>
    </row>
    <row r="1848" spans="1:4">
      <c r="C1848" s="249" t="s">
        <v>1016</v>
      </c>
      <c r="D1848" s="249"/>
    </row>
    <row r="1849" spans="1:4">
      <c r="A1849" t="s">
        <v>38</v>
      </c>
      <c r="C1849" s="249"/>
      <c r="D1849" s="249"/>
    </row>
    <row r="1850" spans="1:4">
      <c r="C1850" t="s">
        <v>1018</v>
      </c>
      <c r="D1850" s="249"/>
    </row>
    <row r="1851" spans="1:4">
      <c r="C1851" t="s">
        <v>1019</v>
      </c>
      <c r="D1851" s="249"/>
    </row>
    <row r="1852" spans="1:4">
      <c r="C1852" t="s">
        <v>1020</v>
      </c>
      <c r="D1852" s="249"/>
    </row>
    <row r="1853" spans="1:4">
      <c r="C1853" t="s">
        <v>1021</v>
      </c>
      <c r="D1853" s="249"/>
    </row>
    <row r="1854" spans="1:4">
      <c r="C1854" t="s">
        <v>1022</v>
      </c>
      <c r="D1854" s="249"/>
    </row>
    <row r="1855" spans="1:4">
      <c r="C1855" t="s">
        <v>1023</v>
      </c>
      <c r="D1855" s="249"/>
    </row>
    <row r="1856" spans="1:4">
      <c r="C1856" s="249" t="s">
        <v>1024</v>
      </c>
      <c r="D1856" s="249"/>
    </row>
    <row r="1857" spans="1:4">
      <c r="C1857" s="249"/>
      <c r="D1857" s="249"/>
    </row>
    <row r="1858" spans="1:4">
      <c r="C1858" s="249"/>
      <c r="D1858" s="249"/>
    </row>
    <row r="1859" spans="1:4">
      <c r="B1859" s="17" t="s">
        <v>876</v>
      </c>
    </row>
    <row r="1860" spans="1:4">
      <c r="B1860" s="17"/>
      <c r="C1860" t="s">
        <v>970</v>
      </c>
    </row>
    <row r="1861" spans="1:4">
      <c r="B1861" s="17"/>
      <c r="C1861" t="s">
        <v>967</v>
      </c>
    </row>
    <row r="1862" spans="1:4">
      <c r="B1862" s="17"/>
      <c r="C1862" t="s">
        <v>968</v>
      </c>
    </row>
    <row r="1863" spans="1:4">
      <c r="B1863" s="17"/>
      <c r="C1863" t="s">
        <v>969</v>
      </c>
    </row>
    <row r="1864" spans="1:4">
      <c r="B1864" s="17"/>
    </row>
    <row r="1866" spans="1:4">
      <c r="B1866" t="s">
        <v>977</v>
      </c>
    </row>
    <row r="1867" spans="1:4">
      <c r="C1867" t="s">
        <v>978</v>
      </c>
    </row>
    <row r="1869" spans="1:4">
      <c r="B1869" t="s">
        <v>986</v>
      </c>
    </row>
    <row r="1870" spans="1:4">
      <c r="C1870" t="s">
        <v>987</v>
      </c>
    </row>
    <row r="1871" spans="1:4">
      <c r="A1871" t="s">
        <v>38</v>
      </c>
    </row>
    <row r="1872" spans="1:4">
      <c r="B1872" t="s">
        <v>67</v>
      </c>
    </row>
    <row r="1873" spans="2:3">
      <c r="C1873" s="352" t="s">
        <v>994</v>
      </c>
    </row>
    <row r="1874" spans="2:3">
      <c r="C1874" t="s">
        <v>992</v>
      </c>
    </row>
    <row r="1875" spans="2:3">
      <c r="C1875" t="s">
        <v>993</v>
      </c>
    </row>
    <row r="1876" spans="2:3">
      <c r="C1876" s="352" t="s">
        <v>996</v>
      </c>
    </row>
    <row r="1877" spans="2:3">
      <c r="C1877" t="s">
        <v>997</v>
      </c>
    </row>
    <row r="1878" spans="2:3">
      <c r="C1878" t="s">
        <v>998</v>
      </c>
    </row>
    <row r="1879" spans="2:3">
      <c r="B1879" t="s">
        <v>870</v>
      </c>
    </row>
    <row r="1880" spans="2:3">
      <c r="C1880" t="s">
        <v>995</v>
      </c>
    </row>
    <row r="1881" spans="2:3">
      <c r="B1881" t="s">
        <v>999</v>
      </c>
    </row>
    <row r="1882" spans="2:3">
      <c r="C1882" t="s">
        <v>1000</v>
      </c>
    </row>
    <row r="1883" spans="2:3">
      <c r="B1883" t="s">
        <v>1002</v>
      </c>
    </row>
    <row r="1884" spans="2:3">
      <c r="C1884" t="s">
        <v>1003</v>
      </c>
    </row>
    <row r="1885" spans="2:3">
      <c r="C1885" t="s">
        <v>1004</v>
      </c>
    </row>
    <row r="1886" spans="2:3">
      <c r="B1886" s="17" t="s">
        <v>1005</v>
      </c>
    </row>
    <row r="1887" spans="2:3">
      <c r="C1887" t="s">
        <v>1006</v>
      </c>
    </row>
    <row r="1888" spans="2:3">
      <c r="C1888" t="s">
        <v>1007</v>
      </c>
    </row>
    <row r="1889" spans="2:10">
      <c r="C1889" t="s">
        <v>1008</v>
      </c>
    </row>
    <row r="1890" spans="2:10">
      <c r="B1890" s="17" t="s">
        <v>681</v>
      </c>
    </row>
    <row r="1891" spans="2:10">
      <c r="C1891" t="s">
        <v>1009</v>
      </c>
    </row>
    <row r="1892" spans="2:10">
      <c r="D1892" s="249" t="s">
        <v>1012</v>
      </c>
    </row>
    <row r="1893" spans="2:10">
      <c r="C1893" t="s">
        <v>1010</v>
      </c>
    </row>
    <row r="1894" spans="2:10">
      <c r="C1894" t="s">
        <v>1011</v>
      </c>
    </row>
    <row r="1899" spans="2:10">
      <c r="B1899" s="17" t="s">
        <v>409</v>
      </c>
    </row>
    <row r="1901" spans="2:10">
      <c r="B1901" t="s">
        <v>860</v>
      </c>
      <c r="I1901" t="s">
        <v>916</v>
      </c>
    </row>
    <row r="1902" spans="2:10">
      <c r="B1902" t="s">
        <v>861</v>
      </c>
      <c r="I1902" t="s">
        <v>930</v>
      </c>
    </row>
    <row r="1903" spans="2:10">
      <c r="B1903" t="s">
        <v>862</v>
      </c>
      <c r="J1903" t="s">
        <v>931</v>
      </c>
    </row>
    <row r="1904" spans="2:10">
      <c r="B1904" t="s">
        <v>863</v>
      </c>
    </row>
    <row r="1905" spans="2:4">
      <c r="C1905" t="s">
        <v>864</v>
      </c>
    </row>
    <row r="1906" spans="2:4">
      <c r="C1906" t="s">
        <v>865</v>
      </c>
    </row>
    <row r="1907" spans="2:4">
      <c r="C1907" t="s">
        <v>866</v>
      </c>
    </row>
    <row r="1908" spans="2:4">
      <c r="B1908" t="s">
        <v>867</v>
      </c>
    </row>
    <row r="1909" spans="2:4">
      <c r="B1909" t="s">
        <v>664</v>
      </c>
    </row>
    <row r="1910" spans="2:4">
      <c r="C1910" t="s">
        <v>868</v>
      </c>
    </row>
    <row r="1911" spans="2:4">
      <c r="C1911" t="s">
        <v>869</v>
      </c>
    </row>
    <row r="1912" spans="2:4">
      <c r="B1912" t="s">
        <v>870</v>
      </c>
    </row>
    <row r="1913" spans="2:4">
      <c r="C1913">
        <v>159000</v>
      </c>
      <c r="D1913" t="s">
        <v>871</v>
      </c>
    </row>
    <row r="1914" spans="2:4">
      <c r="C1914">
        <v>40000</v>
      </c>
      <c r="D1914" t="s">
        <v>88</v>
      </c>
    </row>
    <row r="1916" spans="2:4">
      <c r="C1916" t="s">
        <v>872</v>
      </c>
    </row>
    <row r="1917" spans="2:4">
      <c r="C1917" t="s">
        <v>873</v>
      </c>
    </row>
    <row r="1918" spans="2:4">
      <c r="B1918" t="s">
        <v>874</v>
      </c>
    </row>
    <row r="1919" spans="2:4">
      <c r="B1919" t="s">
        <v>875</v>
      </c>
    </row>
    <row r="1921" spans="2:4">
      <c r="B1921" s="17" t="s">
        <v>876</v>
      </c>
      <c r="C1921" t="s">
        <v>38</v>
      </c>
    </row>
    <row r="1922" spans="2:4">
      <c r="B1922" t="s">
        <v>877</v>
      </c>
    </row>
    <row r="1923" spans="2:4">
      <c r="C1923" t="s">
        <v>878</v>
      </c>
    </row>
    <row r="1924" spans="2:4">
      <c r="C1924" t="s">
        <v>879</v>
      </c>
    </row>
    <row r="1925" spans="2:4">
      <c r="C1925" t="s">
        <v>885</v>
      </c>
    </row>
    <row r="1926" spans="2:4">
      <c r="C1926" t="s">
        <v>880</v>
      </c>
    </row>
    <row r="1927" spans="2:4">
      <c r="C1927" t="s">
        <v>886</v>
      </c>
    </row>
    <row r="1928" spans="2:4">
      <c r="C1928" t="s">
        <v>881</v>
      </c>
    </row>
    <row r="1929" spans="2:4">
      <c r="D1929" t="s">
        <v>882</v>
      </c>
    </row>
    <row r="1930" spans="2:4">
      <c r="C1930" t="s">
        <v>883</v>
      </c>
    </row>
    <row r="1931" spans="2:4">
      <c r="C1931" t="s">
        <v>884</v>
      </c>
    </row>
    <row r="1932" spans="2:4">
      <c r="B1932" t="s">
        <v>887</v>
      </c>
    </row>
    <row r="1934" spans="2:4">
      <c r="B1934" t="s">
        <v>888</v>
      </c>
    </row>
    <row r="1935" spans="2:4">
      <c r="C1935" t="s">
        <v>890</v>
      </c>
    </row>
    <row r="1936" spans="2:4">
      <c r="C1936" t="s">
        <v>891</v>
      </c>
    </row>
    <row r="1937" spans="2:10">
      <c r="B1937" t="s">
        <v>892</v>
      </c>
    </row>
    <row r="1938" spans="2:10">
      <c r="C1938" t="s">
        <v>893</v>
      </c>
    </row>
    <row r="1939" spans="2:10">
      <c r="C1939" t="s">
        <v>894</v>
      </c>
    </row>
    <row r="1940" spans="2:10">
      <c r="C1940" t="s">
        <v>897</v>
      </c>
    </row>
    <row r="1941" spans="2:10">
      <c r="C1941" t="s">
        <v>895</v>
      </c>
    </row>
    <row r="1942" spans="2:10">
      <c r="D1942" t="s">
        <v>896</v>
      </c>
    </row>
    <row r="1943" spans="2:10">
      <c r="D1943" t="s">
        <v>898</v>
      </c>
    </row>
    <row r="1944" spans="2:10">
      <c r="B1944" t="s">
        <v>822</v>
      </c>
    </row>
    <row r="1945" spans="2:10">
      <c r="C1945" t="s">
        <v>899</v>
      </c>
    </row>
    <row r="1946" spans="2:10">
      <c r="C1946" t="s">
        <v>900</v>
      </c>
    </row>
    <row r="1947" spans="2:10">
      <c r="C1947" t="s">
        <v>901</v>
      </c>
    </row>
    <row r="1948" spans="2:10">
      <c r="D1948" t="s">
        <v>902</v>
      </c>
    </row>
    <row r="1949" spans="2:10">
      <c r="D1949" t="s">
        <v>903</v>
      </c>
      <c r="J1949">
        <f>35*'Master old'!P52</f>
        <v>19985</v>
      </c>
    </row>
    <row r="1950" spans="2:10">
      <c r="D1950" t="s">
        <v>904</v>
      </c>
    </row>
    <row r="1951" spans="2:10">
      <c r="D1951" t="s">
        <v>905</v>
      </c>
    </row>
    <row r="1952" spans="2:10">
      <c r="B1952" t="s">
        <v>906</v>
      </c>
    </row>
    <row r="1953" spans="2:11">
      <c r="C1953" t="s">
        <v>907</v>
      </c>
    </row>
    <row r="1954" spans="2:11">
      <c r="C1954" t="s">
        <v>908</v>
      </c>
    </row>
    <row r="1955" spans="2:11">
      <c r="B1955" t="s">
        <v>909</v>
      </c>
    </row>
    <row r="1956" spans="2:11">
      <c r="C1956" t="s">
        <v>910</v>
      </c>
    </row>
    <row r="1957" spans="2:11">
      <c r="C1957" t="s">
        <v>911</v>
      </c>
    </row>
    <row r="1958" spans="2:11">
      <c r="C1958" t="s">
        <v>912</v>
      </c>
    </row>
    <row r="1960" spans="2:11">
      <c r="B1960" t="s">
        <v>40</v>
      </c>
      <c r="K1960" s="17" t="s">
        <v>262</v>
      </c>
    </row>
    <row r="1961" spans="2:11">
      <c r="K1961" t="s">
        <v>622</v>
      </c>
    </row>
    <row r="1962" spans="2:11">
      <c r="B1962" t="s">
        <v>41</v>
      </c>
      <c r="K1962" t="s">
        <v>263</v>
      </c>
    </row>
    <row r="1963" spans="2:11">
      <c r="B1963" t="s">
        <v>42</v>
      </c>
      <c r="K1963" t="s">
        <v>264</v>
      </c>
    </row>
    <row r="1964" spans="2:11">
      <c r="K1964" s="17" t="s">
        <v>146</v>
      </c>
    </row>
    <row r="1965" spans="2:11">
      <c r="B1965" t="s">
        <v>43</v>
      </c>
      <c r="K1965" t="s">
        <v>265</v>
      </c>
    </row>
    <row r="1966" spans="2:11">
      <c r="K1966" t="s">
        <v>266</v>
      </c>
    </row>
    <row r="1967" spans="2:11">
      <c r="D1967" s="14">
        <v>40603</v>
      </c>
      <c r="E1967" t="s">
        <v>48</v>
      </c>
      <c r="K1967" t="s">
        <v>289</v>
      </c>
    </row>
    <row r="1968" spans="2:11">
      <c r="B1968" t="s">
        <v>44</v>
      </c>
      <c r="C1968" t="s">
        <v>45</v>
      </c>
      <c r="D1968">
        <v>63.917999999999992</v>
      </c>
      <c r="E1968" s="15">
        <f>Interims!U63</f>
        <v>471.93681818181824</v>
      </c>
      <c r="F1968">
        <f>D1968/E1968</f>
        <v>0.13543762117617822</v>
      </c>
      <c r="G1968" s="16">
        <f>AVERAGE(F1968:F1969)</f>
        <v>0.11850950772493619</v>
      </c>
      <c r="K1968" t="s">
        <v>290</v>
      </c>
    </row>
    <row r="1969" spans="2:13">
      <c r="C1969" t="s">
        <v>46</v>
      </c>
      <c r="D1969">
        <v>47.94</v>
      </c>
      <c r="E1969" s="15">
        <f>E1968</f>
        <v>471.93681818181824</v>
      </c>
      <c r="F1969">
        <f>D1969/E1969</f>
        <v>0.10158139427369417</v>
      </c>
    </row>
    <row r="1970" spans="2:13">
      <c r="B1970" t="s">
        <v>47</v>
      </c>
      <c r="C1970" t="s">
        <v>45</v>
      </c>
      <c r="D1970">
        <v>63.917999999999992</v>
      </c>
      <c r="E1970" s="15">
        <f>E1969</f>
        <v>471.93681818181824</v>
      </c>
      <c r="F1970">
        <f>D1970/E1970</f>
        <v>0.13543762117617822</v>
      </c>
      <c r="K1970" s="17" t="s">
        <v>267</v>
      </c>
    </row>
    <row r="1971" spans="2:13">
      <c r="C1971" t="s">
        <v>46</v>
      </c>
      <c r="D1971">
        <v>47.94</v>
      </c>
      <c r="E1971" s="15">
        <f>E1970</f>
        <v>471.93681818181824</v>
      </c>
      <c r="F1971">
        <f>D1971/E1971</f>
        <v>0.10158139427369417</v>
      </c>
      <c r="K1971" t="s">
        <v>268</v>
      </c>
    </row>
    <row r="1972" spans="2:13">
      <c r="K1972" t="s">
        <v>269</v>
      </c>
    </row>
    <row r="1973" spans="2:13">
      <c r="B1973" t="s">
        <v>49</v>
      </c>
      <c r="K1973" t="s">
        <v>270</v>
      </c>
    </row>
    <row r="1974" spans="2:13">
      <c r="K1974" t="s">
        <v>271</v>
      </c>
    </row>
    <row r="1975" spans="2:13">
      <c r="B1975" s="17" t="s">
        <v>50</v>
      </c>
      <c r="K1975" t="s">
        <v>273</v>
      </c>
    </row>
    <row r="1976" spans="2:13">
      <c r="B1976" t="s">
        <v>53</v>
      </c>
      <c r="K1976" t="s">
        <v>276</v>
      </c>
    </row>
    <row r="1977" spans="2:13">
      <c r="B1977" t="s">
        <v>54</v>
      </c>
      <c r="K1977" t="s">
        <v>277</v>
      </c>
    </row>
    <row r="1978" spans="2:13">
      <c r="B1978" t="s">
        <v>51</v>
      </c>
      <c r="K1978" t="s">
        <v>278</v>
      </c>
    </row>
    <row r="1979" spans="2:13">
      <c r="B1979" t="s">
        <v>52</v>
      </c>
      <c r="K1979" t="s">
        <v>279</v>
      </c>
      <c r="L1979" s="108">
        <v>2011</v>
      </c>
      <c r="M1979" s="141" t="s">
        <v>230</v>
      </c>
    </row>
    <row r="1980" spans="2:13">
      <c r="K1980" t="s">
        <v>282</v>
      </c>
      <c r="L1980">
        <v>80</v>
      </c>
      <c r="M1980">
        <v>80</v>
      </c>
    </row>
    <row r="1981" spans="2:13">
      <c r="B1981" s="17" t="s">
        <v>146</v>
      </c>
      <c r="L1981" s="108">
        <v>40</v>
      </c>
      <c r="M1981" s="108">
        <v>40</v>
      </c>
    </row>
    <row r="1982" spans="2:13">
      <c r="B1982" t="s">
        <v>147</v>
      </c>
      <c r="K1982" t="s">
        <v>280</v>
      </c>
      <c r="L1982">
        <f>L1980+L1981</f>
        <v>120</v>
      </c>
      <c r="M1982">
        <f>M1980+M1981</f>
        <v>120</v>
      </c>
    </row>
    <row r="1983" spans="2:13">
      <c r="B1983" t="s">
        <v>148</v>
      </c>
      <c r="D1983" s="57">
        <v>0.39</v>
      </c>
      <c r="K1983" s="108" t="s">
        <v>281</v>
      </c>
    </row>
    <row r="1984" spans="2:13">
      <c r="B1984" t="s">
        <v>149</v>
      </c>
      <c r="D1984" s="57">
        <v>0.31</v>
      </c>
    </row>
    <row r="1985" spans="2:13">
      <c r="B1985" t="s">
        <v>150</v>
      </c>
      <c r="D1985" s="57">
        <v>0.23</v>
      </c>
      <c r="K1985" t="s">
        <v>283</v>
      </c>
    </row>
    <row r="1986" spans="2:13">
      <c r="K1986" t="s">
        <v>284</v>
      </c>
    </row>
    <row r="1987" spans="2:13">
      <c r="B1987" t="s">
        <v>154</v>
      </c>
      <c r="K1987" t="s">
        <v>285</v>
      </c>
    </row>
    <row r="1988" spans="2:13">
      <c r="B1988" t="s">
        <v>151</v>
      </c>
      <c r="D1988" s="57">
        <v>0.3</v>
      </c>
    </row>
    <row r="1989" spans="2:13">
      <c r="B1989" t="s">
        <v>152</v>
      </c>
      <c r="D1989" s="57">
        <v>0.38</v>
      </c>
      <c r="K1989" t="s">
        <v>272</v>
      </c>
      <c r="L1989">
        <f>15000000/100</f>
        <v>150000</v>
      </c>
      <c r="M1989" t="s">
        <v>275</v>
      </c>
    </row>
    <row r="1990" spans="2:13">
      <c r="B1990" t="s">
        <v>153</v>
      </c>
      <c r="D1990" s="57">
        <v>0.23</v>
      </c>
      <c r="K1990" t="s">
        <v>274</v>
      </c>
    </row>
    <row r="1992" spans="2:13">
      <c r="B1992" t="s">
        <v>155</v>
      </c>
      <c r="K1992" t="s">
        <v>286</v>
      </c>
    </row>
    <row r="1993" spans="2:13">
      <c r="B1993" t="s">
        <v>156</v>
      </c>
    </row>
    <row r="1994" spans="2:13">
      <c r="K1994" t="s">
        <v>287</v>
      </c>
    </row>
    <row r="1995" spans="2:13">
      <c r="B1995" t="s">
        <v>157</v>
      </c>
    </row>
    <row r="1996" spans="2:13">
      <c r="K1996" t="s">
        <v>288</v>
      </c>
    </row>
    <row r="1997" spans="2:13">
      <c r="B1997" t="s">
        <v>158</v>
      </c>
    </row>
    <row r="1999" spans="2:13">
      <c r="B1999" t="s">
        <v>159</v>
      </c>
    </row>
    <row r="2001" spans="2:3">
      <c r="B2001" s="17" t="s">
        <v>182</v>
      </c>
    </row>
    <row r="2002" spans="2:3">
      <c r="B2002" t="s">
        <v>183</v>
      </c>
    </row>
    <row r="2003" spans="2:3">
      <c r="B2003" t="s">
        <v>184</v>
      </c>
    </row>
    <row r="2005" spans="2:3">
      <c r="B2005" s="352" t="s">
        <v>1401</v>
      </c>
    </row>
    <row r="2007" spans="2:3">
      <c r="B2007" t="s">
        <v>1402</v>
      </c>
    </row>
    <row r="2008" spans="2:3">
      <c r="B2008" t="s">
        <v>1403</v>
      </c>
      <c r="C2008" t="s">
        <v>1404</v>
      </c>
    </row>
    <row r="2009" spans="2:3">
      <c r="C2009" t="s">
        <v>1405</v>
      </c>
    </row>
    <row r="2010" spans="2:3">
      <c r="C2010" t="s">
        <v>1406</v>
      </c>
    </row>
    <row r="2011" spans="2:3">
      <c r="B2011" t="s">
        <v>1407</v>
      </c>
    </row>
    <row r="2012" spans="2:3">
      <c r="C2012" t="s">
        <v>1408</v>
      </c>
    </row>
    <row r="2013" spans="2:3">
      <c r="B2013" t="s">
        <v>1409</v>
      </c>
    </row>
    <row r="2015" spans="2:3">
      <c r="B2015" s="397">
        <v>2015</v>
      </c>
    </row>
    <row r="2016" spans="2:3">
      <c r="B2016" t="s">
        <v>1410</v>
      </c>
    </row>
    <row r="2017" spans="3:6">
      <c r="C2017" t="s">
        <v>1428</v>
      </c>
    </row>
    <row r="2018" spans="3:6">
      <c r="C2018" t="s">
        <v>1420</v>
      </c>
    </row>
    <row r="2019" spans="3:6">
      <c r="D2019" t="s">
        <v>1431</v>
      </c>
    </row>
    <row r="2021" spans="3:6">
      <c r="C2021" t="s">
        <v>1421</v>
      </c>
    </row>
    <row r="2022" spans="3:6">
      <c r="C2022" t="s">
        <v>1422</v>
      </c>
    </row>
    <row r="2023" spans="3:6">
      <c r="D2023" t="s">
        <v>1423</v>
      </c>
    </row>
    <row r="2024" spans="3:6">
      <c r="D2024" t="s">
        <v>1432</v>
      </c>
    </row>
    <row r="2025" spans="3:6">
      <c r="D2025" t="s">
        <v>1433</v>
      </c>
    </row>
    <row r="2026" spans="3:6">
      <c r="D2026" t="s">
        <v>1434</v>
      </c>
    </row>
    <row r="2027" spans="3:6">
      <c r="C2027" t="s">
        <v>1424</v>
      </c>
    </row>
    <row r="2028" spans="3:6">
      <c r="D2028" t="s">
        <v>1425</v>
      </c>
    </row>
    <row r="2029" spans="3:6">
      <c r="D2029" t="s">
        <v>1426</v>
      </c>
    </row>
    <row r="2030" spans="3:6">
      <c r="E2030" t="s">
        <v>1444</v>
      </c>
    </row>
    <row r="2031" spans="3:6">
      <c r="E2031" t="s">
        <v>1445</v>
      </c>
    </row>
    <row r="2032" spans="3:6">
      <c r="F2032" t="s">
        <v>1446</v>
      </c>
    </row>
    <row r="2033" spans="2:6">
      <c r="F2033" t="s">
        <v>1447</v>
      </c>
    </row>
    <row r="2034" spans="2:6">
      <c r="D2034" t="s">
        <v>1427</v>
      </c>
    </row>
    <row r="2035" spans="2:6">
      <c r="C2035" t="s">
        <v>1429</v>
      </c>
    </row>
    <row r="2036" spans="2:6">
      <c r="D2036" t="s">
        <v>1430</v>
      </c>
    </row>
    <row r="2037" spans="2:6">
      <c r="B2037" t="s">
        <v>1435</v>
      </c>
    </row>
    <row r="2038" spans="2:6">
      <c r="C2038" t="s">
        <v>1436</v>
      </c>
    </row>
    <row r="2039" spans="2:6">
      <c r="C2039" t="s">
        <v>1437</v>
      </c>
    </row>
    <row r="2040" spans="2:6">
      <c r="C2040" t="s">
        <v>1438</v>
      </c>
    </row>
    <row r="2042" spans="2:6">
      <c r="B2042" t="s">
        <v>1411</v>
      </c>
    </row>
    <row r="2043" spans="2:6">
      <c r="B2043" t="s">
        <v>1412</v>
      </c>
    </row>
    <row r="2044" spans="2:6">
      <c r="B2044" t="s">
        <v>94</v>
      </c>
    </row>
    <row r="2045" spans="2:6">
      <c r="B2045" t="s">
        <v>1414</v>
      </c>
    </row>
    <row r="2047" spans="2:6">
      <c r="B2047" t="s">
        <v>1413</v>
      </c>
    </row>
    <row r="2048" spans="2:6">
      <c r="B2048" t="s">
        <v>1415</v>
      </c>
    </row>
    <row r="2049" spans="2:3">
      <c r="C2049" t="s">
        <v>1416</v>
      </c>
    </row>
    <row r="2050" spans="2:3">
      <c r="C2050" t="s">
        <v>1417</v>
      </c>
    </row>
    <row r="2051" spans="2:3">
      <c r="C2051" t="s">
        <v>1418</v>
      </c>
    </row>
    <row r="2052" spans="2:3">
      <c r="B2052" t="s">
        <v>1419</v>
      </c>
    </row>
    <row r="2054" spans="2:3">
      <c r="B2054" s="17" t="s">
        <v>1439</v>
      </c>
    </row>
    <row r="2055" spans="2:3">
      <c r="B2055" t="s">
        <v>1442</v>
      </c>
    </row>
    <row r="2056" spans="2:3">
      <c r="C2056" t="s">
        <v>1440</v>
      </c>
    </row>
    <row r="2057" spans="2:3">
      <c r="B2057" t="s">
        <v>1441</v>
      </c>
    </row>
    <row r="2058" spans="2:3">
      <c r="B2058" t="s">
        <v>1443</v>
      </c>
    </row>
    <row r="2060" spans="2:3">
      <c r="B2060" s="17" t="s">
        <v>1448</v>
      </c>
    </row>
    <row r="2062" spans="2:3">
      <c r="B2062" t="s">
        <v>1449</v>
      </c>
    </row>
    <row r="2063" spans="2:3">
      <c r="B2063" t="s">
        <v>1450</v>
      </c>
    </row>
    <row r="2064" spans="2:3">
      <c r="C2064" t="s">
        <v>1451</v>
      </c>
    </row>
    <row r="2065" spans="2:4">
      <c r="B2065" t="s">
        <v>1452</v>
      </c>
    </row>
    <row r="2066" spans="2:4">
      <c r="C2066" t="s">
        <v>1455</v>
      </c>
    </row>
    <row r="2067" spans="2:4">
      <c r="C2067" t="s">
        <v>1456</v>
      </c>
    </row>
    <row r="2068" spans="2:4">
      <c r="C2068" t="s">
        <v>1457</v>
      </c>
    </row>
    <row r="2069" spans="2:4">
      <c r="B2069" t="s">
        <v>1453</v>
      </c>
    </row>
    <row r="2070" spans="2:4">
      <c r="C2070" t="s">
        <v>1454</v>
      </c>
    </row>
    <row r="2072" spans="2:4">
      <c r="C2072" t="s">
        <v>1460</v>
      </c>
    </row>
    <row r="2073" spans="2:4">
      <c r="C2073" t="s">
        <v>1458</v>
      </c>
    </row>
    <row r="2074" spans="2:4">
      <c r="C2074" t="s">
        <v>1459</v>
      </c>
    </row>
    <row r="2075" spans="2:4">
      <c r="B2075">
        <v>2011</v>
      </c>
      <c r="C2075" t="s">
        <v>1461</v>
      </c>
    </row>
    <row r="2076" spans="2:4">
      <c r="B2076" t="s">
        <v>1462</v>
      </c>
    </row>
    <row r="2077" spans="2:4">
      <c r="B2077" t="s">
        <v>1463</v>
      </c>
    </row>
    <row r="2078" spans="2:4">
      <c r="C2078" t="s">
        <v>1464</v>
      </c>
    </row>
    <row r="2079" spans="2:4">
      <c r="C2079" t="s">
        <v>1465</v>
      </c>
    </row>
    <row r="2080" spans="2:4">
      <c r="D2080" t="s">
        <v>1466</v>
      </c>
    </row>
    <row r="2082" spans="2:4">
      <c r="B2082" s="17" t="s">
        <v>1467</v>
      </c>
    </row>
    <row r="2083" spans="2:4">
      <c r="B2083" t="s">
        <v>1468</v>
      </c>
    </row>
    <row r="2084" spans="2:4">
      <c r="B2084" t="s">
        <v>1469</v>
      </c>
    </row>
    <row r="2085" spans="2:4">
      <c r="C2085" t="s">
        <v>1470</v>
      </c>
    </row>
    <row r="2086" spans="2:4">
      <c r="D2086" t="s">
        <v>1478</v>
      </c>
    </row>
    <row r="2087" spans="2:4">
      <c r="D2087" t="s">
        <v>1479</v>
      </c>
    </row>
    <row r="2088" spans="2:4">
      <c r="D2088" t="s">
        <v>1480</v>
      </c>
    </row>
    <row r="2089" spans="2:4">
      <c r="C2089" t="s">
        <v>1477</v>
      </c>
    </row>
    <row r="2091" spans="2:4">
      <c r="B2091" t="s">
        <v>1471</v>
      </c>
    </row>
    <row r="2093" spans="2:4">
      <c r="B2093" s="17" t="s">
        <v>1472</v>
      </c>
    </row>
    <row r="2094" spans="2:4">
      <c r="B2094" t="s">
        <v>1476</v>
      </c>
    </row>
    <row r="2095" spans="2:4">
      <c r="B2095" t="s">
        <v>1473</v>
      </c>
    </row>
    <row r="2096" spans="2:4">
      <c r="B2096" t="s">
        <v>1474</v>
      </c>
    </row>
    <row r="2097" spans="2:5">
      <c r="C2097" t="s">
        <v>1475</v>
      </c>
    </row>
    <row r="2099" spans="2:5">
      <c r="B2099" t="s">
        <v>1481</v>
      </c>
    </row>
    <row r="2100" spans="2:5">
      <c r="C2100" t="s">
        <v>1482</v>
      </c>
    </row>
    <row r="2102" spans="2:5">
      <c r="B2102" t="s">
        <v>1483</v>
      </c>
    </row>
    <row r="2104" spans="2:5">
      <c r="B2104" s="108"/>
      <c r="C2104" s="141" t="s">
        <v>1513</v>
      </c>
      <c r="D2104" s="141" t="s">
        <v>1515</v>
      </c>
      <c r="E2104" s="141" t="s">
        <v>68</v>
      </c>
    </row>
    <row r="2105" spans="2:5">
      <c r="B2105" t="s">
        <v>1435</v>
      </c>
      <c r="C2105">
        <f>E2105-D2105</f>
        <v>655</v>
      </c>
      <c r="D2105">
        <v>345</v>
      </c>
      <c r="E2105">
        <v>1000</v>
      </c>
    </row>
    <row r="2106" spans="2:5">
      <c r="B2106" t="s">
        <v>1516</v>
      </c>
      <c r="C2106" s="57">
        <f>E2106-D2106</f>
        <v>0.52400000000000002</v>
      </c>
      <c r="D2106" s="57">
        <f>D2105/E2105*E2106</f>
        <v>0.27599999999999997</v>
      </c>
      <c r="E2106" s="57">
        <v>0.8</v>
      </c>
    </row>
    <row r="2107" spans="2:5">
      <c r="B2107" t="s">
        <v>1514</v>
      </c>
      <c r="C2107">
        <f>E2107-D2107</f>
        <v>596</v>
      </c>
      <c r="D2107">
        <v>154</v>
      </c>
      <c r="E2107">
        <v>750</v>
      </c>
    </row>
    <row r="2108" spans="2:5">
      <c r="B2108" t="s">
        <v>1518</v>
      </c>
      <c r="C2108" s="15">
        <v>306.10000000000002</v>
      </c>
      <c r="D2108">
        <f>E2108-C2108</f>
        <v>83.899999999999977</v>
      </c>
      <c r="E2108">
        <v>390</v>
      </c>
    </row>
    <row r="2109" spans="2:5">
      <c r="B2109" t="s">
        <v>1517</v>
      </c>
      <c r="C2109" s="164">
        <f>C2108*1000/C2107/12</f>
        <v>42.799217002237135</v>
      </c>
      <c r="D2109" s="164">
        <f>D2108*1000/D2107/12</f>
        <v>45.400432900432882</v>
      </c>
      <c r="E2109" s="164">
        <f>E2108*1000/E2107/12</f>
        <v>43.333333333333336</v>
      </c>
    </row>
    <row r="2110" spans="2:5">
      <c r="B2110" t="s">
        <v>1519</v>
      </c>
      <c r="C2110">
        <v>128.6</v>
      </c>
      <c r="D2110" s="164">
        <f>44.6*0.9</f>
        <v>40.14</v>
      </c>
      <c r="E2110" s="15">
        <f>C2110+D2110</f>
        <v>168.74</v>
      </c>
    </row>
    <row r="2111" spans="2:5">
      <c r="B2111" t="s">
        <v>5</v>
      </c>
      <c r="C2111" s="57">
        <f>C2110/C2108</f>
        <v>0.42012414243711199</v>
      </c>
      <c r="D2111" s="57">
        <f>D2110/D2108</f>
        <v>0.47842669845053648</v>
      </c>
      <c r="E2111" s="57">
        <f>E2110/E2108</f>
        <v>0.4326666666666667</v>
      </c>
    </row>
    <row r="2113" spans="2:2">
      <c r="B2113" t="s">
        <v>1520</v>
      </c>
    </row>
    <row r="2114" spans="2:2">
      <c r="B2114" t="s">
        <v>1521</v>
      </c>
    </row>
  </sheetData>
  <pageMargins left="0.70866141732283472" right="0.70866141732283472" top="0.74803149606299213" bottom="0.74803149606299213" header="0.31496062992125984" footer="0.31496062992125984"/>
  <pageSetup paperSize="9" scale="10" orientation="portrait" r:id="rId1"/>
  <colBreaks count="1" manualBreakCount="1">
    <brk id="2" max="104857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R410"/>
  <sheetViews>
    <sheetView topLeftCell="C1" zoomScale="80" zoomScaleNormal="80" workbookViewId="0">
      <selection activeCell="AJ1" sqref="AJ1"/>
    </sheetView>
  </sheetViews>
  <sheetFormatPr defaultRowHeight="12.9"/>
  <cols>
    <col min="1" max="1" width="3.41796875" style="181" customWidth="1"/>
    <col min="2" max="2" width="28.41796875" style="181" customWidth="1"/>
    <col min="3" max="13" width="9.41796875" style="181" customWidth="1"/>
    <col min="14" max="26" width="11.578125" style="181" customWidth="1"/>
    <col min="27" max="31" width="11.578125" style="181" bestFit="1" customWidth="1"/>
    <col min="32" max="256" width="9.15625" style="181"/>
    <col min="257" max="257" width="3.41796875" style="181" customWidth="1"/>
    <col min="258" max="258" width="28.41796875" style="181" customWidth="1"/>
    <col min="259" max="273" width="9.41796875" style="181" customWidth="1"/>
    <col min="274" max="512" width="9.15625" style="181"/>
    <col min="513" max="513" width="3.41796875" style="181" customWidth="1"/>
    <col min="514" max="514" width="28.41796875" style="181" customWidth="1"/>
    <col min="515" max="529" width="9.41796875" style="181" customWidth="1"/>
    <col min="530" max="768" width="9.15625" style="181"/>
    <col min="769" max="769" width="3.41796875" style="181" customWidth="1"/>
    <col min="770" max="770" width="28.41796875" style="181" customWidth="1"/>
    <col min="771" max="785" width="9.41796875" style="181" customWidth="1"/>
    <col min="786" max="1024" width="9.15625" style="181"/>
    <col min="1025" max="1025" width="3.41796875" style="181" customWidth="1"/>
    <col min="1026" max="1026" width="28.41796875" style="181" customWidth="1"/>
    <col min="1027" max="1041" width="9.41796875" style="181" customWidth="1"/>
    <col min="1042" max="1280" width="9.15625" style="181"/>
    <col min="1281" max="1281" width="3.41796875" style="181" customWidth="1"/>
    <col min="1282" max="1282" width="28.41796875" style="181" customWidth="1"/>
    <col min="1283" max="1297" width="9.41796875" style="181" customWidth="1"/>
    <col min="1298" max="1536" width="9.15625" style="181"/>
    <col min="1537" max="1537" width="3.41796875" style="181" customWidth="1"/>
    <col min="1538" max="1538" width="28.41796875" style="181" customWidth="1"/>
    <col min="1539" max="1553" width="9.41796875" style="181" customWidth="1"/>
    <col min="1554" max="1792" width="9.15625" style="181"/>
    <col min="1793" max="1793" width="3.41796875" style="181" customWidth="1"/>
    <col min="1794" max="1794" width="28.41796875" style="181" customWidth="1"/>
    <col min="1795" max="1809" width="9.41796875" style="181" customWidth="1"/>
    <col min="1810" max="2048" width="9.15625" style="181"/>
    <col min="2049" max="2049" width="3.41796875" style="181" customWidth="1"/>
    <col min="2050" max="2050" width="28.41796875" style="181" customWidth="1"/>
    <col min="2051" max="2065" width="9.41796875" style="181" customWidth="1"/>
    <col min="2066" max="2304" width="9.15625" style="181"/>
    <col min="2305" max="2305" width="3.41796875" style="181" customWidth="1"/>
    <col min="2306" max="2306" width="28.41796875" style="181" customWidth="1"/>
    <col min="2307" max="2321" width="9.41796875" style="181" customWidth="1"/>
    <col min="2322" max="2560" width="9.15625" style="181"/>
    <col min="2561" max="2561" width="3.41796875" style="181" customWidth="1"/>
    <col min="2562" max="2562" width="28.41796875" style="181" customWidth="1"/>
    <col min="2563" max="2577" width="9.41796875" style="181" customWidth="1"/>
    <col min="2578" max="2816" width="9.15625" style="181"/>
    <col min="2817" max="2817" width="3.41796875" style="181" customWidth="1"/>
    <col min="2818" max="2818" width="28.41796875" style="181" customWidth="1"/>
    <col min="2819" max="2833" width="9.41796875" style="181" customWidth="1"/>
    <col min="2834" max="3072" width="9.15625" style="181"/>
    <col min="3073" max="3073" width="3.41796875" style="181" customWidth="1"/>
    <col min="3074" max="3074" width="28.41796875" style="181" customWidth="1"/>
    <col min="3075" max="3089" width="9.41796875" style="181" customWidth="1"/>
    <col min="3090" max="3328" width="9.15625" style="181"/>
    <col min="3329" max="3329" width="3.41796875" style="181" customWidth="1"/>
    <col min="3330" max="3330" width="28.41796875" style="181" customWidth="1"/>
    <col min="3331" max="3345" width="9.41796875" style="181" customWidth="1"/>
    <col min="3346" max="3584" width="9.15625" style="181"/>
    <col min="3585" max="3585" width="3.41796875" style="181" customWidth="1"/>
    <col min="3586" max="3586" width="28.41796875" style="181" customWidth="1"/>
    <col min="3587" max="3601" width="9.41796875" style="181" customWidth="1"/>
    <col min="3602" max="3840" width="9.15625" style="181"/>
    <col min="3841" max="3841" width="3.41796875" style="181" customWidth="1"/>
    <col min="3842" max="3842" width="28.41796875" style="181" customWidth="1"/>
    <col min="3843" max="3857" width="9.41796875" style="181" customWidth="1"/>
    <col min="3858" max="4096" width="9.15625" style="181"/>
    <col min="4097" max="4097" width="3.41796875" style="181" customWidth="1"/>
    <col min="4098" max="4098" width="28.41796875" style="181" customWidth="1"/>
    <col min="4099" max="4113" width="9.41796875" style="181" customWidth="1"/>
    <col min="4114" max="4352" width="9.15625" style="181"/>
    <col min="4353" max="4353" width="3.41796875" style="181" customWidth="1"/>
    <col min="4354" max="4354" width="28.41796875" style="181" customWidth="1"/>
    <col min="4355" max="4369" width="9.41796875" style="181" customWidth="1"/>
    <col min="4370" max="4608" width="9.15625" style="181"/>
    <col min="4609" max="4609" width="3.41796875" style="181" customWidth="1"/>
    <col min="4610" max="4610" width="28.41796875" style="181" customWidth="1"/>
    <col min="4611" max="4625" width="9.41796875" style="181" customWidth="1"/>
    <col min="4626" max="4864" width="9.15625" style="181"/>
    <col min="4865" max="4865" width="3.41796875" style="181" customWidth="1"/>
    <col min="4866" max="4866" width="28.41796875" style="181" customWidth="1"/>
    <col min="4867" max="4881" width="9.41796875" style="181" customWidth="1"/>
    <col min="4882" max="5120" width="9.15625" style="181"/>
    <col min="5121" max="5121" width="3.41796875" style="181" customWidth="1"/>
    <col min="5122" max="5122" width="28.41796875" style="181" customWidth="1"/>
    <col min="5123" max="5137" width="9.41796875" style="181" customWidth="1"/>
    <col min="5138" max="5376" width="9.15625" style="181"/>
    <col min="5377" max="5377" width="3.41796875" style="181" customWidth="1"/>
    <col min="5378" max="5378" width="28.41796875" style="181" customWidth="1"/>
    <col min="5379" max="5393" width="9.41796875" style="181" customWidth="1"/>
    <col min="5394" max="5632" width="9.15625" style="181"/>
    <col min="5633" max="5633" width="3.41796875" style="181" customWidth="1"/>
    <col min="5634" max="5634" width="28.41796875" style="181" customWidth="1"/>
    <col min="5635" max="5649" width="9.41796875" style="181" customWidth="1"/>
    <col min="5650" max="5888" width="9.15625" style="181"/>
    <col min="5889" max="5889" width="3.41796875" style="181" customWidth="1"/>
    <col min="5890" max="5890" width="28.41796875" style="181" customWidth="1"/>
    <col min="5891" max="5905" width="9.41796875" style="181" customWidth="1"/>
    <col min="5906" max="6144" width="9.15625" style="181"/>
    <col min="6145" max="6145" width="3.41796875" style="181" customWidth="1"/>
    <col min="6146" max="6146" width="28.41796875" style="181" customWidth="1"/>
    <col min="6147" max="6161" width="9.41796875" style="181" customWidth="1"/>
    <col min="6162" max="6400" width="9.15625" style="181"/>
    <col min="6401" max="6401" width="3.41796875" style="181" customWidth="1"/>
    <col min="6402" max="6402" width="28.41796875" style="181" customWidth="1"/>
    <col min="6403" max="6417" width="9.41796875" style="181" customWidth="1"/>
    <col min="6418" max="6656" width="9.15625" style="181"/>
    <col min="6657" max="6657" width="3.41796875" style="181" customWidth="1"/>
    <col min="6658" max="6658" width="28.41796875" style="181" customWidth="1"/>
    <col min="6659" max="6673" width="9.41796875" style="181" customWidth="1"/>
    <col min="6674" max="6912" width="9.15625" style="181"/>
    <col min="6913" max="6913" width="3.41796875" style="181" customWidth="1"/>
    <col min="6914" max="6914" width="28.41796875" style="181" customWidth="1"/>
    <col min="6915" max="6929" width="9.41796875" style="181" customWidth="1"/>
    <col min="6930" max="7168" width="9.15625" style="181"/>
    <col min="7169" max="7169" width="3.41796875" style="181" customWidth="1"/>
    <col min="7170" max="7170" width="28.41796875" style="181" customWidth="1"/>
    <col min="7171" max="7185" width="9.41796875" style="181" customWidth="1"/>
    <col min="7186" max="7424" width="9.15625" style="181"/>
    <col min="7425" max="7425" width="3.41796875" style="181" customWidth="1"/>
    <col min="7426" max="7426" width="28.41796875" style="181" customWidth="1"/>
    <col min="7427" max="7441" width="9.41796875" style="181" customWidth="1"/>
    <col min="7442" max="7680" width="9.15625" style="181"/>
    <col min="7681" max="7681" width="3.41796875" style="181" customWidth="1"/>
    <col min="7682" max="7682" width="28.41796875" style="181" customWidth="1"/>
    <col min="7683" max="7697" width="9.41796875" style="181" customWidth="1"/>
    <col min="7698" max="7936" width="9.15625" style="181"/>
    <col min="7937" max="7937" width="3.41796875" style="181" customWidth="1"/>
    <col min="7938" max="7938" width="28.41796875" style="181" customWidth="1"/>
    <col min="7939" max="7953" width="9.41796875" style="181" customWidth="1"/>
    <col min="7954" max="8192" width="9.15625" style="181"/>
    <col min="8193" max="8193" width="3.41796875" style="181" customWidth="1"/>
    <col min="8194" max="8194" width="28.41796875" style="181" customWidth="1"/>
    <col min="8195" max="8209" width="9.41796875" style="181" customWidth="1"/>
    <col min="8210" max="8448" width="9.15625" style="181"/>
    <col min="8449" max="8449" width="3.41796875" style="181" customWidth="1"/>
    <col min="8450" max="8450" width="28.41796875" style="181" customWidth="1"/>
    <col min="8451" max="8465" width="9.41796875" style="181" customWidth="1"/>
    <col min="8466" max="8704" width="9.15625" style="181"/>
    <col min="8705" max="8705" width="3.41796875" style="181" customWidth="1"/>
    <col min="8706" max="8706" width="28.41796875" style="181" customWidth="1"/>
    <col min="8707" max="8721" width="9.41796875" style="181" customWidth="1"/>
    <col min="8722" max="8960" width="9.15625" style="181"/>
    <col min="8961" max="8961" width="3.41796875" style="181" customWidth="1"/>
    <col min="8962" max="8962" width="28.41796875" style="181" customWidth="1"/>
    <col min="8963" max="8977" width="9.41796875" style="181" customWidth="1"/>
    <col min="8978" max="9216" width="9.15625" style="181"/>
    <col min="9217" max="9217" width="3.41796875" style="181" customWidth="1"/>
    <col min="9218" max="9218" width="28.41796875" style="181" customWidth="1"/>
    <col min="9219" max="9233" width="9.41796875" style="181" customWidth="1"/>
    <col min="9234" max="9472" width="9.15625" style="181"/>
    <col min="9473" max="9473" width="3.41796875" style="181" customWidth="1"/>
    <col min="9474" max="9474" width="28.41796875" style="181" customWidth="1"/>
    <col min="9475" max="9489" width="9.41796875" style="181" customWidth="1"/>
    <col min="9490" max="9728" width="9.15625" style="181"/>
    <col min="9729" max="9729" width="3.41796875" style="181" customWidth="1"/>
    <col min="9730" max="9730" width="28.41796875" style="181" customWidth="1"/>
    <col min="9731" max="9745" width="9.41796875" style="181" customWidth="1"/>
    <col min="9746" max="9984" width="9.15625" style="181"/>
    <col min="9985" max="9985" width="3.41796875" style="181" customWidth="1"/>
    <col min="9986" max="9986" width="28.41796875" style="181" customWidth="1"/>
    <col min="9987" max="10001" width="9.41796875" style="181" customWidth="1"/>
    <col min="10002" max="10240" width="9.15625" style="181"/>
    <col min="10241" max="10241" width="3.41796875" style="181" customWidth="1"/>
    <col min="10242" max="10242" width="28.41796875" style="181" customWidth="1"/>
    <col min="10243" max="10257" width="9.41796875" style="181" customWidth="1"/>
    <col min="10258" max="10496" width="9.15625" style="181"/>
    <col min="10497" max="10497" width="3.41796875" style="181" customWidth="1"/>
    <col min="10498" max="10498" width="28.41796875" style="181" customWidth="1"/>
    <col min="10499" max="10513" width="9.41796875" style="181" customWidth="1"/>
    <col min="10514" max="10752" width="9.15625" style="181"/>
    <col min="10753" max="10753" width="3.41796875" style="181" customWidth="1"/>
    <col min="10754" max="10754" width="28.41796875" style="181" customWidth="1"/>
    <col min="10755" max="10769" width="9.41796875" style="181" customWidth="1"/>
    <col min="10770" max="11008" width="9.15625" style="181"/>
    <col min="11009" max="11009" width="3.41796875" style="181" customWidth="1"/>
    <col min="11010" max="11010" width="28.41796875" style="181" customWidth="1"/>
    <col min="11011" max="11025" width="9.41796875" style="181" customWidth="1"/>
    <col min="11026" max="11264" width="9.15625" style="181"/>
    <col min="11265" max="11265" width="3.41796875" style="181" customWidth="1"/>
    <col min="11266" max="11266" width="28.41796875" style="181" customWidth="1"/>
    <col min="11267" max="11281" width="9.41796875" style="181" customWidth="1"/>
    <col min="11282" max="11520" width="9.15625" style="181"/>
    <col min="11521" max="11521" width="3.41796875" style="181" customWidth="1"/>
    <col min="11522" max="11522" width="28.41796875" style="181" customWidth="1"/>
    <col min="11523" max="11537" width="9.41796875" style="181" customWidth="1"/>
    <col min="11538" max="11776" width="9.15625" style="181"/>
    <col min="11777" max="11777" width="3.41796875" style="181" customWidth="1"/>
    <col min="11778" max="11778" width="28.41796875" style="181" customWidth="1"/>
    <col min="11779" max="11793" width="9.41796875" style="181" customWidth="1"/>
    <col min="11794" max="12032" width="9.15625" style="181"/>
    <col min="12033" max="12033" width="3.41796875" style="181" customWidth="1"/>
    <col min="12034" max="12034" width="28.41796875" style="181" customWidth="1"/>
    <col min="12035" max="12049" width="9.41796875" style="181" customWidth="1"/>
    <col min="12050" max="12288" width="9.15625" style="181"/>
    <col min="12289" max="12289" width="3.41796875" style="181" customWidth="1"/>
    <col min="12290" max="12290" width="28.41796875" style="181" customWidth="1"/>
    <col min="12291" max="12305" width="9.41796875" style="181" customWidth="1"/>
    <col min="12306" max="12544" width="9.15625" style="181"/>
    <col min="12545" max="12545" width="3.41796875" style="181" customWidth="1"/>
    <col min="12546" max="12546" width="28.41796875" style="181" customWidth="1"/>
    <col min="12547" max="12561" width="9.41796875" style="181" customWidth="1"/>
    <col min="12562" max="12800" width="9.15625" style="181"/>
    <col min="12801" max="12801" width="3.41796875" style="181" customWidth="1"/>
    <col min="12802" max="12802" width="28.41796875" style="181" customWidth="1"/>
    <col min="12803" max="12817" width="9.41796875" style="181" customWidth="1"/>
    <col min="12818" max="13056" width="9.15625" style="181"/>
    <col min="13057" max="13057" width="3.41796875" style="181" customWidth="1"/>
    <col min="13058" max="13058" width="28.41796875" style="181" customWidth="1"/>
    <col min="13059" max="13073" width="9.41796875" style="181" customWidth="1"/>
    <col min="13074" max="13312" width="9.15625" style="181"/>
    <col min="13313" max="13313" width="3.41796875" style="181" customWidth="1"/>
    <col min="13314" max="13314" width="28.41796875" style="181" customWidth="1"/>
    <col min="13315" max="13329" width="9.41796875" style="181" customWidth="1"/>
    <col min="13330" max="13568" width="9.15625" style="181"/>
    <col min="13569" max="13569" width="3.41796875" style="181" customWidth="1"/>
    <col min="13570" max="13570" width="28.41796875" style="181" customWidth="1"/>
    <col min="13571" max="13585" width="9.41796875" style="181" customWidth="1"/>
    <col min="13586" max="13824" width="9.15625" style="181"/>
    <col min="13825" max="13825" width="3.41796875" style="181" customWidth="1"/>
    <col min="13826" max="13826" width="28.41796875" style="181" customWidth="1"/>
    <col min="13827" max="13841" width="9.41796875" style="181" customWidth="1"/>
    <col min="13842" max="14080" width="9.15625" style="181"/>
    <col min="14081" max="14081" width="3.41796875" style="181" customWidth="1"/>
    <col min="14082" max="14082" width="28.41796875" style="181" customWidth="1"/>
    <col min="14083" max="14097" width="9.41796875" style="181" customWidth="1"/>
    <col min="14098" max="14336" width="9.15625" style="181"/>
    <col min="14337" max="14337" width="3.41796875" style="181" customWidth="1"/>
    <col min="14338" max="14338" width="28.41796875" style="181" customWidth="1"/>
    <col min="14339" max="14353" width="9.41796875" style="181" customWidth="1"/>
    <col min="14354" max="14592" width="9.15625" style="181"/>
    <col min="14593" max="14593" width="3.41796875" style="181" customWidth="1"/>
    <col min="14594" max="14594" width="28.41796875" style="181" customWidth="1"/>
    <col min="14595" max="14609" width="9.41796875" style="181" customWidth="1"/>
    <col min="14610" max="14848" width="9.15625" style="181"/>
    <col min="14849" max="14849" width="3.41796875" style="181" customWidth="1"/>
    <col min="14850" max="14850" width="28.41796875" style="181" customWidth="1"/>
    <col min="14851" max="14865" width="9.41796875" style="181" customWidth="1"/>
    <col min="14866" max="15104" width="9.15625" style="181"/>
    <col min="15105" max="15105" width="3.41796875" style="181" customWidth="1"/>
    <col min="15106" max="15106" width="28.41796875" style="181" customWidth="1"/>
    <col min="15107" max="15121" width="9.41796875" style="181" customWidth="1"/>
    <col min="15122" max="15360" width="9.15625" style="181"/>
    <col min="15361" max="15361" width="3.41796875" style="181" customWidth="1"/>
    <col min="15362" max="15362" width="28.41796875" style="181" customWidth="1"/>
    <col min="15363" max="15377" width="9.41796875" style="181" customWidth="1"/>
    <col min="15378" max="15616" width="9.15625" style="181"/>
    <col min="15617" max="15617" width="3.41796875" style="181" customWidth="1"/>
    <col min="15618" max="15618" width="28.41796875" style="181" customWidth="1"/>
    <col min="15619" max="15633" width="9.41796875" style="181" customWidth="1"/>
    <col min="15634" max="15872" width="9.15625" style="181"/>
    <col min="15873" max="15873" width="3.41796875" style="181" customWidth="1"/>
    <col min="15874" max="15874" width="28.41796875" style="181" customWidth="1"/>
    <col min="15875" max="15889" width="9.41796875" style="181" customWidth="1"/>
    <col min="15890" max="16128" width="9.15625" style="181"/>
    <col min="16129" max="16129" width="3.41796875" style="181" customWidth="1"/>
    <col min="16130" max="16130" width="28.41796875" style="181" customWidth="1"/>
    <col min="16131" max="16145" width="9.41796875" style="181" customWidth="1"/>
    <col min="16146" max="16384" width="9.15625" style="181"/>
  </cols>
  <sheetData>
    <row r="2" spans="2:35">
      <c r="B2" s="180" t="s">
        <v>431</v>
      </c>
      <c r="C2" s="180">
        <v>1998</v>
      </c>
      <c r="D2" s="180">
        <v>1999</v>
      </c>
      <c r="E2" s="180">
        <v>2000</v>
      </c>
      <c r="F2" s="180">
        <v>2001</v>
      </c>
      <c r="G2" s="180">
        <v>2002</v>
      </c>
      <c r="H2" s="180">
        <v>2003</v>
      </c>
      <c r="I2" s="180">
        <v>2004</v>
      </c>
      <c r="J2" s="180">
        <v>2005</v>
      </c>
      <c r="K2" s="180">
        <v>2006</v>
      </c>
      <c r="L2" s="180">
        <v>2007</v>
      </c>
      <c r="M2" s="180">
        <v>2008</v>
      </c>
      <c r="N2" s="180">
        <v>2009</v>
      </c>
      <c r="O2" s="180">
        <v>2010</v>
      </c>
      <c r="P2" s="180">
        <v>2011</v>
      </c>
      <c r="Q2" s="180">
        <v>2012</v>
      </c>
      <c r="R2" s="180">
        <v>2013</v>
      </c>
      <c r="S2" s="180">
        <v>2014</v>
      </c>
      <c r="T2" s="180">
        <v>2015</v>
      </c>
      <c r="U2" s="180">
        <v>2016</v>
      </c>
      <c r="V2" s="180">
        <v>2017</v>
      </c>
      <c r="W2" s="180">
        <v>2018</v>
      </c>
      <c r="X2" s="180">
        <v>2019</v>
      </c>
      <c r="Y2" s="180">
        <v>2020</v>
      </c>
      <c r="Z2" s="180">
        <v>2021</v>
      </c>
      <c r="AA2" s="180">
        <v>2022</v>
      </c>
      <c r="AB2" s="180">
        <v>2023</v>
      </c>
      <c r="AC2" s="180">
        <v>2024</v>
      </c>
      <c r="AD2" s="180">
        <v>2025</v>
      </c>
      <c r="AE2" s="180">
        <v>2026</v>
      </c>
      <c r="AF2" s="180">
        <v>2027</v>
      </c>
      <c r="AG2" s="180">
        <v>2028</v>
      </c>
      <c r="AH2" s="180">
        <v>2029</v>
      </c>
      <c r="AI2" s="180">
        <v>2030</v>
      </c>
    </row>
    <row r="3" spans="2:35">
      <c r="B3" s="181" t="s">
        <v>432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>
        <f>'Master old'!K329</f>
        <v>236.5</v>
      </c>
      <c r="O3" s="182">
        <f>'Master old'!L329</f>
        <v>236.5</v>
      </c>
      <c r="P3" s="182">
        <f>'Master old'!M329</f>
        <v>236.5</v>
      </c>
      <c r="Q3" s="182">
        <f>'Master old'!N329</f>
        <v>236.5</v>
      </c>
      <c r="R3" s="182">
        <f>'Master old'!O329</f>
        <v>236.5</v>
      </c>
      <c r="S3" s="182">
        <f>'Master old'!P329</f>
        <v>236.5</v>
      </c>
      <c r="T3" s="182">
        <f>'Master old'!Q329</f>
        <v>236.5</v>
      </c>
      <c r="U3" s="182">
        <f>'Master old'!R329</f>
        <v>300.157625</v>
      </c>
      <c r="V3" s="182">
        <f>'Master old'!S329</f>
        <v>300.157625</v>
      </c>
      <c r="W3" s="182">
        <f>'Master old'!T329</f>
        <v>300.157625</v>
      </c>
      <c r="X3" s="182">
        <f>'Master old'!U329</f>
        <v>300.157625</v>
      </c>
      <c r="Y3" s="182">
        <f>'Master old'!V329</f>
        <v>300.157625</v>
      </c>
      <c r="Z3" s="182">
        <f>'Master old'!W329</f>
        <v>300.157625</v>
      </c>
      <c r="AA3" s="182">
        <f>'Master old'!X329</f>
        <v>300.157625</v>
      </c>
      <c r="AB3" s="182">
        <f>'Master old'!Y329</f>
        <v>300.157625</v>
      </c>
      <c r="AC3" s="182">
        <f>'Master old'!Z329</f>
        <v>300.157625</v>
      </c>
      <c r="AD3" s="182">
        <f>'Master old'!AA329</f>
        <v>300.157625</v>
      </c>
      <c r="AE3" s="182">
        <f>'Master old'!AB329</f>
        <v>300.157625</v>
      </c>
      <c r="AF3" s="183"/>
      <c r="AG3" s="183"/>
      <c r="AH3" s="183"/>
      <c r="AI3" s="183"/>
    </row>
    <row r="4" spans="2:35">
      <c r="B4" s="181" t="s">
        <v>433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>
        <f>AVERAGE(N3)</f>
        <v>236.5</v>
      </c>
      <c r="O4" s="182">
        <f>AVERAGE(O3)</f>
        <v>236.5</v>
      </c>
      <c r="P4" s="182">
        <f t="shared" ref="P4:W4" si="0">AVERAGE(P3)</f>
        <v>236.5</v>
      </c>
      <c r="Q4" s="182">
        <f t="shared" si="0"/>
        <v>236.5</v>
      </c>
      <c r="R4" s="182">
        <f t="shared" si="0"/>
        <v>236.5</v>
      </c>
      <c r="S4" s="182">
        <f t="shared" si="0"/>
        <v>236.5</v>
      </c>
      <c r="T4" s="182">
        <f t="shared" si="0"/>
        <v>236.5</v>
      </c>
      <c r="U4" s="182">
        <f t="shared" si="0"/>
        <v>300.157625</v>
      </c>
      <c r="V4" s="182">
        <f t="shared" si="0"/>
        <v>300.157625</v>
      </c>
      <c r="W4" s="182">
        <f t="shared" si="0"/>
        <v>300.157625</v>
      </c>
      <c r="X4" s="182">
        <f>AVERAGE(X3)</f>
        <v>300.157625</v>
      </c>
      <c r="Y4" s="182">
        <f>AVERAGE(Y3)</f>
        <v>300.157625</v>
      </c>
      <c r="Z4" s="182">
        <f>AVERAGE(Z3)</f>
        <v>300.157625</v>
      </c>
      <c r="AA4" s="182">
        <f t="shared" ref="AA4:AD4" si="1">AVERAGE(AA3)</f>
        <v>300.157625</v>
      </c>
      <c r="AB4" s="182">
        <f t="shared" si="1"/>
        <v>300.157625</v>
      </c>
      <c r="AC4" s="182">
        <f t="shared" si="1"/>
        <v>300.157625</v>
      </c>
      <c r="AD4" s="182">
        <f t="shared" si="1"/>
        <v>300.157625</v>
      </c>
      <c r="AE4" s="182">
        <f t="shared" ref="AE4" si="2">AVERAGE(AE3)</f>
        <v>300.157625</v>
      </c>
      <c r="AF4" s="183"/>
      <c r="AG4" s="183"/>
      <c r="AH4" s="183"/>
      <c r="AI4" s="183"/>
    </row>
    <row r="5" spans="2:35">
      <c r="B5" s="181" t="s">
        <v>434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4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3"/>
      <c r="AG5" s="183"/>
      <c r="AH5" s="183"/>
      <c r="AI5" s="183"/>
    </row>
    <row r="6" spans="2:35">
      <c r="B6" s="181" t="s">
        <v>435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4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3"/>
      <c r="AG6" s="183"/>
      <c r="AH6" s="183"/>
      <c r="AI6" s="183"/>
    </row>
    <row r="7" spans="2:35">
      <c r="B7" s="181" t="s">
        <v>181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6">
        <f>'Master old'!K323</f>
        <v>341600</v>
      </c>
      <c r="O7" s="186">
        <f>'Master old'!L323</f>
        <v>282700</v>
      </c>
      <c r="P7" s="186">
        <f>'Master old'!M323</f>
        <v>337816</v>
      </c>
      <c r="Q7" s="186">
        <f>'Master old'!N323</f>
        <v>374652</v>
      </c>
      <c r="R7" s="186">
        <f>'Master old'!O323</f>
        <v>801000</v>
      </c>
      <c r="S7" s="186">
        <f>'Master old'!P323</f>
        <v>954328</v>
      </c>
      <c r="T7" s="186">
        <f>'Master old'!Q323</f>
        <v>1267873</v>
      </c>
      <c r="U7" s="186">
        <f>'Master old'!R323</f>
        <v>1374100</v>
      </c>
      <c r="V7" s="186">
        <f>'Master old'!S323</f>
        <v>1443171</v>
      </c>
      <c r="W7" s="186">
        <f>'Master old'!T323</f>
        <v>1638065</v>
      </c>
      <c r="X7" s="186">
        <f ca="1">'Master old'!U323</f>
        <v>1679884.7650244918</v>
      </c>
      <c r="Y7" s="186">
        <f ca="1">'Master old'!V323</f>
        <v>1709982.419913491</v>
      </c>
      <c r="Z7" s="186">
        <f ca="1">'Master old'!W323</f>
        <v>1701653.6452147611</v>
      </c>
      <c r="AA7" s="186">
        <f ca="1">'Master old'!X323</f>
        <v>1663183.4617654032</v>
      </c>
      <c r="AB7" s="186">
        <f ca="1">'Master old'!Y323</f>
        <v>1572011.4020452877</v>
      </c>
      <c r="AC7" s="186">
        <f ca="1">'Master old'!Z323</f>
        <v>1443221.4983064022</v>
      </c>
      <c r="AD7" s="186">
        <f ca="1">'Master old'!AA323</f>
        <v>1269169.9822329853</v>
      </c>
      <c r="AE7" s="186">
        <f ca="1">'Master old'!AB323</f>
        <v>1062133.3650582659</v>
      </c>
      <c r="AF7" s="183"/>
      <c r="AG7" s="183"/>
      <c r="AH7" s="183"/>
      <c r="AI7" s="183"/>
    </row>
    <row r="8" spans="2:35">
      <c r="B8" s="181" t="s">
        <v>436</v>
      </c>
      <c r="C8" s="183"/>
      <c r="D8" s="183"/>
      <c r="E8" s="183"/>
      <c r="F8" s="183"/>
      <c r="G8" s="183"/>
      <c r="H8" s="182"/>
      <c r="I8" s="182"/>
      <c r="J8" s="182"/>
      <c r="K8" s="182"/>
      <c r="L8" s="182"/>
      <c r="M8" s="182"/>
      <c r="N8" s="184">
        <f>Valuation!E12</f>
        <v>0</v>
      </c>
      <c r="O8" s="184">
        <f>Valuation!F12</f>
        <v>0</v>
      </c>
      <c r="P8" s="184">
        <f>Valuation!G12</f>
        <v>0</v>
      </c>
      <c r="Q8" s="184">
        <f>Valuation!H12</f>
        <v>0</v>
      </c>
      <c r="R8" s="184">
        <f>Valuation!I12</f>
        <v>0</v>
      </c>
      <c r="S8" s="186" t="e">
        <f>SOP!#REF!</f>
        <v>#REF!</v>
      </c>
      <c r="T8" s="184" t="e">
        <f t="shared" ref="T8:Z8" si="3">S8</f>
        <v>#REF!</v>
      </c>
      <c r="U8" s="184" t="e">
        <f t="shared" si="3"/>
        <v>#REF!</v>
      </c>
      <c r="V8" s="184" t="e">
        <f t="shared" si="3"/>
        <v>#REF!</v>
      </c>
      <c r="W8" s="184" t="e">
        <f t="shared" si="3"/>
        <v>#REF!</v>
      </c>
      <c r="X8" s="184" t="e">
        <f t="shared" si="3"/>
        <v>#REF!</v>
      </c>
      <c r="Y8" s="184" t="e">
        <f t="shared" si="3"/>
        <v>#REF!</v>
      </c>
      <c r="Z8" s="184" t="e">
        <f t="shared" si="3"/>
        <v>#REF!</v>
      </c>
      <c r="AA8" s="184" t="e">
        <f t="shared" ref="AA8" si="4">Z8</f>
        <v>#REF!</v>
      </c>
      <c r="AB8" s="184" t="e">
        <f t="shared" ref="AB8" si="5">AA8</f>
        <v>#REF!</v>
      </c>
      <c r="AC8" s="184" t="e">
        <f t="shared" ref="AC8" si="6">AB8</f>
        <v>#REF!</v>
      </c>
      <c r="AD8" s="184" t="e">
        <f t="shared" ref="AD8:AE8" si="7">AC8</f>
        <v>#REF!</v>
      </c>
      <c r="AE8" s="184" t="e">
        <f t="shared" si="7"/>
        <v>#REF!</v>
      </c>
      <c r="AF8" s="183"/>
      <c r="AG8" s="183"/>
      <c r="AH8" s="183"/>
      <c r="AI8" s="183"/>
    </row>
    <row r="9" spans="2:35">
      <c r="B9" s="181" t="s">
        <v>437</v>
      </c>
      <c r="C9" s="183"/>
      <c r="D9" s="183"/>
      <c r="E9" s="183"/>
      <c r="F9" s="183"/>
      <c r="G9" s="183"/>
      <c r="H9" s="182"/>
      <c r="I9" s="182"/>
      <c r="J9" s="182"/>
      <c r="K9" s="182"/>
      <c r="L9" s="182"/>
      <c r="M9" s="182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3"/>
      <c r="AG9" s="183"/>
      <c r="AH9" s="183"/>
      <c r="AI9" s="183"/>
    </row>
    <row r="10" spans="2:35">
      <c r="B10" s="181" t="s">
        <v>438</v>
      </c>
      <c r="C10" s="183"/>
      <c r="D10" s="183"/>
      <c r="E10" s="183"/>
      <c r="F10" s="183"/>
      <c r="G10" s="183"/>
      <c r="H10" s="182"/>
      <c r="I10" s="182"/>
      <c r="J10" s="182"/>
      <c r="K10" s="182"/>
      <c r="L10" s="182"/>
      <c r="M10" s="182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3"/>
      <c r="AG10" s="183"/>
      <c r="AH10" s="183"/>
      <c r="AI10" s="183"/>
    </row>
    <row r="11" spans="2:35">
      <c r="B11" s="181" t="s">
        <v>594</v>
      </c>
      <c r="C11" s="183"/>
      <c r="D11" s="183"/>
      <c r="E11" s="183"/>
      <c r="F11" s="183"/>
      <c r="G11" s="183"/>
      <c r="H11" s="182"/>
      <c r="I11" s="182"/>
      <c r="J11" s="182"/>
      <c r="K11" s="182"/>
      <c r="L11" s="182"/>
      <c r="M11" s="182"/>
      <c r="N11" s="184"/>
      <c r="O11" s="184"/>
      <c r="P11" s="184"/>
      <c r="Q11" s="184">
        <f>-Valuation!H14</f>
        <v>0</v>
      </c>
      <c r="R11" s="184">
        <f>-Valuation!I14</f>
        <v>0</v>
      </c>
      <c r="S11" s="184">
        <f>-Valuation!J14</f>
        <v>0</v>
      </c>
      <c r="T11" s="184">
        <f>-Valuation!K14</f>
        <v>0</v>
      </c>
      <c r="U11" s="184">
        <f>-Valuation!L14</f>
        <v>0</v>
      </c>
      <c r="V11" s="184">
        <f>-Valuation!M14</f>
        <v>0</v>
      </c>
      <c r="W11" s="184">
        <f>-Valuation!N14</f>
        <v>0</v>
      </c>
      <c r="X11" s="184">
        <f>-Valuation!O14</f>
        <v>0</v>
      </c>
      <c r="Y11" s="184">
        <f>-Valuation!P14</f>
        <v>0</v>
      </c>
      <c r="Z11" s="184">
        <f>-Valuation!Q14</f>
        <v>0</v>
      </c>
      <c r="AA11" s="184">
        <f>-Valuation!R14</f>
        <v>0</v>
      </c>
      <c r="AB11" s="184">
        <f>-Valuation!S14</f>
        <v>0</v>
      </c>
      <c r="AC11" s="184">
        <f>-Valuation!T14</f>
        <v>45302.56695</v>
      </c>
      <c r="AD11" s="184">
        <f>-Valuation!U14</f>
        <v>95135.390595000004</v>
      </c>
      <c r="AE11" s="184">
        <f>-Valuation!V14</f>
        <v>149951.49660450002</v>
      </c>
      <c r="AF11" s="183"/>
      <c r="AG11" s="183"/>
      <c r="AH11" s="183"/>
      <c r="AI11" s="183"/>
    </row>
    <row r="12" spans="2:35">
      <c r="B12" s="181" t="s">
        <v>440</v>
      </c>
      <c r="C12" s="183"/>
      <c r="D12" s="183"/>
      <c r="E12" s="183"/>
      <c r="F12" s="183"/>
      <c r="G12" s="183"/>
      <c r="H12" s="182"/>
      <c r="I12" s="182"/>
      <c r="J12" s="182"/>
      <c r="K12" s="182"/>
      <c r="L12" s="182"/>
      <c r="M12" s="182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3"/>
      <c r="AG12" s="183"/>
      <c r="AH12" s="183"/>
      <c r="AI12" s="183"/>
    </row>
    <row r="13" spans="2:35">
      <c r="B13" s="181" t="s">
        <v>103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4">
        <f>'Master old'!K315</f>
        <v>450</v>
      </c>
      <c r="O13" s="184">
        <f>'Master old'!L315</f>
        <v>545</v>
      </c>
      <c r="P13" s="184">
        <f>'Master old'!M315</f>
        <v>555</v>
      </c>
      <c r="Q13" s="184">
        <f>'Master old'!N315</f>
        <v>375</v>
      </c>
      <c r="R13" s="184">
        <f>'Master old'!O315</f>
        <v>300</v>
      </c>
      <c r="S13" s="184">
        <f>'Master old'!P315</f>
        <v>114</v>
      </c>
      <c r="T13" s="184">
        <f>'Master old'!Q315</f>
        <v>0</v>
      </c>
      <c r="U13" s="184">
        <f>'Master old'!R315</f>
        <v>0</v>
      </c>
      <c r="V13" s="184">
        <f>'Master old'!S315</f>
        <v>15</v>
      </c>
      <c r="W13" s="184">
        <f>'Master old'!T315</f>
        <v>34</v>
      </c>
      <c r="X13" s="184">
        <f>'Master old'!U315</f>
        <v>0</v>
      </c>
      <c r="Y13" s="184">
        <f>'Master old'!V315</f>
        <v>50</v>
      </c>
      <c r="Z13" s="184">
        <f>'Master old'!W315</f>
        <v>65</v>
      </c>
      <c r="AA13" s="184">
        <f>'Master old'!X315</f>
        <v>74.75</v>
      </c>
      <c r="AB13" s="184">
        <f>'Master old'!Y315</f>
        <v>85.962499999999991</v>
      </c>
      <c r="AC13" s="184">
        <f>'Master old'!Z315</f>
        <v>94.558750000000003</v>
      </c>
      <c r="AD13" s="184">
        <f>'Master old'!AA315</f>
        <v>104.01462500000001</v>
      </c>
      <c r="AE13" s="184">
        <f>'Master old'!AB315</f>
        <v>114.41608750000002</v>
      </c>
      <c r="AF13" s="183"/>
      <c r="AG13" s="183"/>
      <c r="AH13" s="183"/>
      <c r="AI13" s="183"/>
    </row>
    <row r="14" spans="2:35">
      <c r="B14" s="181" t="s">
        <v>441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4">
        <f>'Master old'!K304</f>
        <v>636.84566596194509</v>
      </c>
      <c r="O14" s="184">
        <f>'Master old'!L304</f>
        <v>740.24524312896403</v>
      </c>
      <c r="P14" s="184">
        <f>'Master old'!M304</f>
        <v>764.3424947145877</v>
      </c>
      <c r="Q14" s="184">
        <f>'Master old'!N304</f>
        <v>707.37420718816065</v>
      </c>
      <c r="R14" s="184">
        <f>'Master old'!O304</f>
        <v>598.67653276955605</v>
      </c>
      <c r="S14" s="184">
        <f>'Master old'!P304</f>
        <v>238.77801268498942</v>
      </c>
      <c r="T14" s="184">
        <f>'Master old'!Q304</f>
        <v>30.012684989429175</v>
      </c>
      <c r="U14" s="184">
        <f>'Master old'!R304</f>
        <v>113.80020747432287</v>
      </c>
      <c r="V14" s="184">
        <f>'Master old'!S304</f>
        <v>144.56071205920557</v>
      </c>
      <c r="W14" s="184">
        <f>'Master old'!T304</f>
        <v>-78.67532933737732</v>
      </c>
      <c r="X14" s="184">
        <f ca="1">'Master old'!U304</f>
        <v>204.06579525696782</v>
      </c>
      <c r="Y14" s="184">
        <f ca="1">'Master old'!V304</f>
        <v>259.68418577292226</v>
      </c>
      <c r="Z14" s="184">
        <f ca="1">'Master old'!W304</f>
        <v>359.93898852622476</v>
      </c>
      <c r="AA14" s="184">
        <f ca="1">'Master old'!X304</f>
        <v>445.98364069278909</v>
      </c>
      <c r="AB14" s="184">
        <f ca="1">'Master old'!Y304</f>
        <v>548.75321152735728</v>
      </c>
      <c r="AC14" s="184">
        <f ca="1">'Master old'!Z304</f>
        <v>648.84307121979293</v>
      </c>
      <c r="AD14" s="184">
        <f ca="1">'Master old'!AA304</f>
        <v>757.57802356936656</v>
      </c>
      <c r="AE14" s="184">
        <f ca="1">'Master old'!AB304</f>
        <v>858.14827894363577</v>
      </c>
      <c r="AF14" s="183"/>
      <c r="AG14" s="183"/>
      <c r="AH14" s="183"/>
      <c r="AI14" s="183"/>
    </row>
    <row r="15" spans="2:35">
      <c r="B15" s="181" t="s">
        <v>442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6">
        <f>N14</f>
        <v>636.84566596194509</v>
      </c>
      <c r="O15" s="186">
        <f>O14</f>
        <v>740.24524312896403</v>
      </c>
      <c r="P15" s="186">
        <f t="shared" ref="P15:W15" si="8">P14</f>
        <v>764.3424947145877</v>
      </c>
      <c r="Q15" s="186">
        <f t="shared" si="8"/>
        <v>707.37420718816065</v>
      </c>
      <c r="R15" s="186">
        <f t="shared" si="8"/>
        <v>598.67653276955605</v>
      </c>
      <c r="S15" s="186">
        <f t="shared" si="8"/>
        <v>238.77801268498942</v>
      </c>
      <c r="T15" s="186">
        <f t="shared" si="8"/>
        <v>30.012684989429175</v>
      </c>
      <c r="U15" s="186">
        <f t="shared" si="8"/>
        <v>113.80020747432287</v>
      </c>
      <c r="V15" s="186">
        <f t="shared" si="8"/>
        <v>144.56071205920557</v>
      </c>
      <c r="W15" s="186">
        <f t="shared" si="8"/>
        <v>-78.67532933737732</v>
      </c>
      <c r="X15" s="186">
        <f ca="1">X14</f>
        <v>204.06579525696782</v>
      </c>
      <c r="Y15" s="186">
        <f ca="1">Y14</f>
        <v>259.68418577292226</v>
      </c>
      <c r="Z15" s="186">
        <f ca="1">Z14</f>
        <v>359.93898852622476</v>
      </c>
      <c r="AA15" s="186">
        <f t="shared" ref="AA15:AD15" ca="1" si="9">AA14</f>
        <v>445.98364069278909</v>
      </c>
      <c r="AB15" s="186">
        <f t="shared" ca="1" si="9"/>
        <v>548.75321152735728</v>
      </c>
      <c r="AC15" s="186">
        <f t="shared" ca="1" si="9"/>
        <v>648.84307121979293</v>
      </c>
      <c r="AD15" s="186">
        <f t="shared" ca="1" si="9"/>
        <v>757.57802356936656</v>
      </c>
      <c r="AE15" s="186">
        <f t="shared" ref="AE15" ca="1" si="10">AE14</f>
        <v>858.14827894363577</v>
      </c>
      <c r="AF15" s="183"/>
      <c r="AG15" s="183"/>
      <c r="AH15" s="183"/>
      <c r="AI15" s="183"/>
    </row>
    <row r="16" spans="2:35">
      <c r="B16" s="181" t="s">
        <v>439</v>
      </c>
      <c r="N16" s="184"/>
      <c r="O16" s="184">
        <f>'Master old'!K309</f>
        <v>104654</v>
      </c>
      <c r="P16" s="184">
        <f>'Master old'!L309</f>
        <v>141900</v>
      </c>
      <c r="Q16" s="184">
        <f>'Master old'!M309</f>
        <v>128892.5</v>
      </c>
      <c r="R16" s="184">
        <f>'Master old'!N309</f>
        <v>131257.5</v>
      </c>
      <c r="S16" s="184">
        <f>'Master old'!O309</f>
        <v>88687.5</v>
      </c>
      <c r="T16" s="184">
        <f>'Master old'!P309</f>
        <v>54395</v>
      </c>
      <c r="U16" s="184">
        <f>'Master old'!Q309</f>
        <v>8041</v>
      </c>
      <c r="V16" s="184">
        <f>'Master old'!R309</f>
        <v>0</v>
      </c>
      <c r="W16" s="184">
        <f>'Master old'!S309</f>
        <v>4502.3643750000001</v>
      </c>
      <c r="X16" s="184">
        <f>'Master old'!T309</f>
        <v>10205.35925</v>
      </c>
      <c r="Y16" s="184">
        <f>'Master old'!U309</f>
        <v>0</v>
      </c>
      <c r="Z16" s="184">
        <f>'Master old'!V309</f>
        <v>15007.88125</v>
      </c>
      <c r="AA16" s="184">
        <f>'Master old'!W309</f>
        <v>19510.245625</v>
      </c>
      <c r="AB16" s="184">
        <f>'Master old'!X309</f>
        <v>22436.78246875</v>
      </c>
      <c r="AC16" s="184">
        <f>'Master old'!Y309</f>
        <v>25802.299839062496</v>
      </c>
      <c r="AD16" s="184">
        <f>'Master old'!Z309</f>
        <v>28382.529822968751</v>
      </c>
      <c r="AE16" s="184">
        <f>'Master old'!AA309</f>
        <v>31220.782805265626</v>
      </c>
    </row>
    <row r="17" spans="2:35">
      <c r="B17" s="180" t="s">
        <v>443</v>
      </c>
      <c r="C17" s="180">
        <v>1998</v>
      </c>
      <c r="D17" s="180">
        <v>1999</v>
      </c>
      <c r="E17" s="180">
        <v>2000</v>
      </c>
      <c r="F17" s="180">
        <v>2001</v>
      </c>
      <c r="G17" s="180">
        <v>2002</v>
      </c>
      <c r="H17" s="180">
        <v>2003</v>
      </c>
      <c r="I17" s="180">
        <v>2004</v>
      </c>
      <c r="J17" s="180">
        <v>2005</v>
      </c>
      <c r="K17" s="180">
        <v>2006</v>
      </c>
      <c r="L17" s="180">
        <v>2007</v>
      </c>
      <c r="M17" s="180">
        <v>2008</v>
      </c>
      <c r="N17" s="180">
        <v>2009</v>
      </c>
      <c r="O17" s="180">
        <v>2010</v>
      </c>
      <c r="P17" s="180">
        <v>2011</v>
      </c>
      <c r="Q17" s="180">
        <v>2012</v>
      </c>
      <c r="R17" s="180">
        <v>2013</v>
      </c>
      <c r="S17" s="180">
        <v>2014</v>
      </c>
      <c r="T17" s="180">
        <v>2015</v>
      </c>
      <c r="U17" s="180">
        <v>2016</v>
      </c>
      <c r="V17" s="180">
        <v>2017</v>
      </c>
      <c r="W17" s="180">
        <v>2018</v>
      </c>
      <c r="X17" s="180">
        <f>X2</f>
        <v>2019</v>
      </c>
      <c r="Y17" s="180">
        <f>Y2</f>
        <v>2020</v>
      </c>
      <c r="Z17" s="180">
        <f>Z2</f>
        <v>2021</v>
      </c>
      <c r="AA17" s="180">
        <v>2022</v>
      </c>
      <c r="AB17" s="180">
        <v>2023</v>
      </c>
      <c r="AC17" s="180">
        <v>2024</v>
      </c>
      <c r="AD17" s="180">
        <v>2025</v>
      </c>
      <c r="AE17" s="180">
        <v>2026</v>
      </c>
      <c r="AF17" s="180">
        <v>2027</v>
      </c>
      <c r="AG17" s="180">
        <v>2028</v>
      </c>
      <c r="AH17" s="180">
        <v>2029</v>
      </c>
      <c r="AI17" s="180">
        <v>2030</v>
      </c>
    </row>
    <row r="18" spans="2:35">
      <c r="B18" s="181" t="s">
        <v>444</v>
      </c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>
        <f>'Master old'!K221</f>
        <v>994671</v>
      </c>
      <c r="O18" s="182">
        <f>'Master old'!L221</f>
        <v>1086816</v>
      </c>
      <c r="P18" s="182">
        <f>'Master old'!M221</f>
        <v>1240915</v>
      </c>
      <c r="Q18" s="182">
        <f>'Master old'!N221</f>
        <v>1440888</v>
      </c>
      <c r="R18" s="182">
        <f>'Master old'!O221</f>
        <v>1643930</v>
      </c>
      <c r="S18" s="182">
        <f>'Master old'!P221</f>
        <v>1664053</v>
      </c>
      <c r="T18" s="182">
        <f>'Master old'!Q221</f>
        <v>1792864</v>
      </c>
      <c r="U18" s="182">
        <f>'Master old'!R221</f>
        <v>1876002</v>
      </c>
      <c r="V18" s="182">
        <f>'Master old'!S221</f>
        <v>1955170</v>
      </c>
      <c r="W18" s="182">
        <f>'Master old'!T221</f>
        <v>1936098</v>
      </c>
      <c r="X18" s="182">
        <f ca="1">'Master old'!U221</f>
        <v>1994383.0818467499</v>
      </c>
      <c r="Y18" s="182">
        <f ca="1">'Master old'!V221</f>
        <v>2126844.2045565024</v>
      </c>
      <c r="Z18" s="182">
        <f ca="1">'Master old'!W221</f>
        <v>2175250.9286778364</v>
      </c>
      <c r="AA18" s="182">
        <f ca="1">'Master old'!X221</f>
        <v>2219673.1682425952</v>
      </c>
      <c r="AB18" s="182">
        <f ca="1">'Master old'!Y221</f>
        <v>2274803.4363927725</v>
      </c>
      <c r="AC18" s="182">
        <f ca="1">'Master old'!Z221</f>
        <v>2335603.3308694656</v>
      </c>
      <c r="AD18" s="182">
        <f ca="1">'Master old'!AA221</f>
        <v>2401986.6576730232</v>
      </c>
      <c r="AE18" s="182">
        <f ca="1">'Master old'!AB221</f>
        <v>2473879.3809229173</v>
      </c>
      <c r="AF18" s="183"/>
      <c r="AG18" s="183"/>
      <c r="AH18" s="183"/>
      <c r="AI18" s="183"/>
    </row>
    <row r="19" spans="2:35">
      <c r="B19" s="181" t="s">
        <v>4</v>
      </c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>
        <f>'Master old'!K233</f>
        <v>401358</v>
      </c>
      <c r="O19" s="182">
        <f>'Master old'!L233</f>
        <v>446429</v>
      </c>
      <c r="P19" s="182">
        <f>'Master old'!M233</f>
        <v>515199</v>
      </c>
      <c r="Q19" s="182">
        <f>'Master old'!N233</f>
        <v>542625</v>
      </c>
      <c r="R19" s="182">
        <f>'Master old'!O233</f>
        <v>461938</v>
      </c>
      <c r="S19" s="182">
        <f>'Master old'!P233</f>
        <v>366150</v>
      </c>
      <c r="T19" s="182">
        <f>'Master old'!Q233</f>
        <v>364786</v>
      </c>
      <c r="U19" s="182">
        <f>'Master old'!R233</f>
        <v>416281</v>
      </c>
      <c r="V19" s="182">
        <f>'Master old'!S233</f>
        <v>440103</v>
      </c>
      <c r="W19" s="182">
        <f>'Master old'!T233</f>
        <v>426921</v>
      </c>
      <c r="X19" s="182">
        <f ca="1">'Master old'!U233</f>
        <v>503350.80606618541</v>
      </c>
      <c r="Y19" s="182">
        <f ca="1">'Master old'!V233</f>
        <v>549588.42393915739</v>
      </c>
      <c r="Z19" s="182">
        <f ca="1">'Master old'!W233</f>
        <v>599214.0945366082</v>
      </c>
      <c r="AA19" s="182">
        <f ca="1">'Master old'!X233</f>
        <v>640285.73474473308</v>
      </c>
      <c r="AB19" s="182">
        <f ca="1">'Master old'!Y233</f>
        <v>687442.14456965355</v>
      </c>
      <c r="AC19" s="182">
        <f ca="1">'Master old'!Z233</f>
        <v>731672.37889562442</v>
      </c>
      <c r="AD19" s="182">
        <f ca="1">'Master old'!AA233</f>
        <v>777844.1324523146</v>
      </c>
      <c r="AE19" s="182">
        <f ca="1">'Master old'!AB233</f>
        <v>825435.1885312947</v>
      </c>
      <c r="AF19" s="183"/>
      <c r="AG19" s="183"/>
      <c r="AH19" s="183"/>
      <c r="AI19" s="183"/>
    </row>
    <row r="20" spans="2:35">
      <c r="B20" s="181" t="s">
        <v>445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>
        <f>'Master old'!K286</f>
        <v>211770</v>
      </c>
      <c r="O20" s="182">
        <f>'Master old'!L286</f>
        <v>233199</v>
      </c>
      <c r="P20" s="182">
        <f>'Master old'!M286</f>
        <v>269799</v>
      </c>
      <c r="Q20" s="182">
        <f>'Master old'!N286</f>
        <v>311320</v>
      </c>
      <c r="R20" s="182">
        <f>'Master old'!O286</f>
        <v>245166</v>
      </c>
      <c r="S20" s="182">
        <f>'Master old'!P286</f>
        <v>241518</v>
      </c>
      <c r="T20" s="182">
        <f>'Master old'!Q286</f>
        <v>274724</v>
      </c>
      <c r="U20" s="182">
        <f>'Master old'!R286</f>
        <v>300539</v>
      </c>
      <c r="V20" s="182">
        <f>'Master old'!S286</f>
        <v>315868</v>
      </c>
      <c r="W20" s="182">
        <f>'Master old'!T286</f>
        <v>331565</v>
      </c>
      <c r="X20" s="182">
        <f ca="1">'Master old'!U286</f>
        <v>319101.29309548001</v>
      </c>
      <c r="Y20" s="182">
        <f ca="1">'Master old'!V286</f>
        <v>340295.0727290404</v>
      </c>
      <c r="Z20" s="182">
        <f ca="1">'Master old'!W286</f>
        <v>348040.14858845383</v>
      </c>
      <c r="AA20" s="182">
        <f ca="1">'Master old'!X286</f>
        <v>355147.70691881521</v>
      </c>
      <c r="AB20" s="182">
        <f ca="1">'Master old'!Y286</f>
        <v>363968.54982284358</v>
      </c>
      <c r="AC20" s="182">
        <f ca="1">'Master old'!Z286</f>
        <v>373696.53293911449</v>
      </c>
      <c r="AD20" s="182">
        <f ca="1">'Master old'!AA286</f>
        <v>384317.86522768374</v>
      </c>
      <c r="AE20" s="182">
        <f ca="1">'Master old'!AB286</f>
        <v>395820.70094766677</v>
      </c>
      <c r="AF20" s="183"/>
      <c r="AG20" s="183"/>
      <c r="AH20" s="183"/>
      <c r="AI20" s="183"/>
    </row>
    <row r="21" spans="2:35">
      <c r="B21" s="181" t="s">
        <v>446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>
        <f>'Master old'!K287</f>
        <v>0.21290456844524472</v>
      </c>
      <c r="O21" s="182">
        <f>'Master old'!L287</f>
        <v>0.21457081971557282</v>
      </c>
      <c r="P21" s="182">
        <f>'Master old'!M287</f>
        <v>0.21741940422994321</v>
      </c>
      <c r="Q21" s="182">
        <f>'Master old'!N287</f>
        <v>0.21606120670031259</v>
      </c>
      <c r="R21" s="182">
        <f>'Master old'!O287</f>
        <v>0.14913408721782559</v>
      </c>
      <c r="S21" s="182">
        <f>'Master old'!P287</f>
        <v>0.14513840604836506</v>
      </c>
      <c r="T21" s="182">
        <f>'Master old'!Q287</f>
        <v>0.15323192389383691</v>
      </c>
      <c r="U21" s="182">
        <f>'Master old'!R287</f>
        <v>0.16020185479546398</v>
      </c>
      <c r="V21" s="182">
        <f>'Master old'!S287</f>
        <v>0.1615552611793348</v>
      </c>
      <c r="W21" s="182">
        <f>'Master old'!T287</f>
        <v>0.17125424436159739</v>
      </c>
      <c r="X21" s="182">
        <f>'Master old'!U287</f>
        <v>0.16</v>
      </c>
      <c r="Y21" s="182">
        <f>'Master old'!V287</f>
        <v>0.16</v>
      </c>
      <c r="Z21" s="182">
        <f>'Master old'!W287</f>
        <v>0.16</v>
      </c>
      <c r="AA21" s="182">
        <f>'Master old'!X287</f>
        <v>0.16</v>
      </c>
      <c r="AB21" s="182">
        <f>'Master old'!Y287</f>
        <v>0.16</v>
      </c>
      <c r="AC21" s="182">
        <f>'Master old'!Z287</f>
        <v>0.16</v>
      </c>
      <c r="AD21" s="182">
        <f>'Master old'!AA287</f>
        <v>0.16</v>
      </c>
      <c r="AE21" s="182">
        <f>'Master old'!AB287</f>
        <v>0.16</v>
      </c>
      <c r="AF21" s="183"/>
      <c r="AG21" s="183"/>
      <c r="AH21" s="183"/>
      <c r="AI21" s="183"/>
    </row>
    <row r="22" spans="2:35">
      <c r="B22" s="181" t="s">
        <v>137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>
        <f>'Master old'!K255</f>
        <v>261027</v>
      </c>
      <c r="O22" s="182">
        <f>'Master old'!L255</f>
        <v>290741</v>
      </c>
      <c r="P22" s="182">
        <f>'Master old'!M255</f>
        <v>358426</v>
      </c>
      <c r="Q22" s="182">
        <f>'Master old'!N255</f>
        <v>380925</v>
      </c>
      <c r="R22" s="182">
        <f>'Master old'!O255</f>
        <v>366125.52045454551</v>
      </c>
      <c r="S22" s="182">
        <f>'Master old'!P255</f>
        <v>513920</v>
      </c>
      <c r="T22" s="182">
        <f>'Master old'!Q255</f>
        <v>433263</v>
      </c>
      <c r="U22" s="182">
        <f>'Master old'!R255</f>
        <v>360499</v>
      </c>
      <c r="V22" s="182">
        <f>'Master old'!S255</f>
        <v>387011</v>
      </c>
      <c r="W22" s="182">
        <f>'Master old'!T255</f>
        <v>432021</v>
      </c>
      <c r="X22" s="182">
        <f ca="1">'Master old'!U255</f>
        <v>422172.96256803966</v>
      </c>
      <c r="Y22" s="182">
        <f ca="1">'Master old'!V255</f>
        <v>433331.03481969854</v>
      </c>
      <c r="Z22" s="182">
        <f ca="1">'Master old'!W255</f>
        <v>428239.56020565785</v>
      </c>
      <c r="AA22" s="182">
        <f ca="1">'Master old'!X255</f>
        <v>428106.1313799083</v>
      </c>
      <c r="AB22" s="182">
        <f ca="1">'Master old'!Y255</f>
        <v>411706.65094683995</v>
      </c>
      <c r="AC22" s="182">
        <f ca="1">'Master old'!Z255</f>
        <v>411279.29463229945</v>
      </c>
      <c r="AD22" s="182">
        <f ca="1">'Master old'!AA255</f>
        <v>406438.38665577618</v>
      </c>
      <c r="AE22" s="182">
        <f ca="1">'Master old'!AB255</f>
        <v>412020.97199271433</v>
      </c>
      <c r="AF22" s="183"/>
      <c r="AG22" s="183"/>
      <c r="AH22" s="183"/>
      <c r="AI22" s="183"/>
    </row>
    <row r="23" spans="2:35">
      <c r="B23" s="181" t="s">
        <v>177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>
        <f>N19-N22</f>
        <v>140331</v>
      </c>
      <c r="O23" s="182">
        <f>O19-O22</f>
        <v>155688</v>
      </c>
      <c r="P23" s="182">
        <f t="shared" ref="P23:W23" si="11">P19-P22</f>
        <v>156773</v>
      </c>
      <c r="Q23" s="182">
        <f t="shared" si="11"/>
        <v>161700</v>
      </c>
      <c r="R23" s="182">
        <f t="shared" si="11"/>
        <v>95812.479545454495</v>
      </c>
      <c r="S23" s="182">
        <f t="shared" si="11"/>
        <v>-147770</v>
      </c>
      <c r="T23" s="182">
        <f t="shared" si="11"/>
        <v>-68477</v>
      </c>
      <c r="U23" s="182">
        <f t="shared" si="11"/>
        <v>55782</v>
      </c>
      <c r="V23" s="182">
        <f t="shared" si="11"/>
        <v>53092</v>
      </c>
      <c r="W23" s="182">
        <f t="shared" si="11"/>
        <v>-5100</v>
      </c>
      <c r="X23" s="182">
        <f ca="1">X19-X22</f>
        <v>81177.843498145754</v>
      </c>
      <c r="Y23" s="182">
        <f ca="1">Y19-Y22</f>
        <v>116257.38911945885</v>
      </c>
      <c r="Z23" s="182">
        <f ca="1">Z19-Z22</f>
        <v>170974.53433095035</v>
      </c>
      <c r="AA23" s="182">
        <f t="shared" ref="AA23:AD23" ca="1" si="12">AA19-AA22</f>
        <v>212179.60336482478</v>
      </c>
      <c r="AB23" s="182">
        <f t="shared" ca="1" si="12"/>
        <v>275735.49362281361</v>
      </c>
      <c r="AC23" s="182">
        <f t="shared" ca="1" si="12"/>
        <v>320393.08426332497</v>
      </c>
      <c r="AD23" s="182">
        <f t="shared" ca="1" si="12"/>
        <v>371405.74579653842</v>
      </c>
      <c r="AE23" s="182">
        <f t="shared" ref="AE23" ca="1" si="13">AE19-AE22</f>
        <v>413414.21653858037</v>
      </c>
      <c r="AF23" s="183"/>
      <c r="AG23" s="183"/>
      <c r="AH23" s="183"/>
      <c r="AI23" s="183"/>
    </row>
    <row r="24" spans="2:35">
      <c r="B24" s="181" t="s">
        <v>125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4">
        <f>N23*(1-'Master old'!K299)</f>
        <v>117811.27084122985</v>
      </c>
      <c r="O24" s="184">
        <f>O23*(1-'Master old'!L299)</f>
        <v>136507.90211653462</v>
      </c>
      <c r="P24" s="184">
        <f>P23*(1-'Master old'!M299)</f>
        <v>129210.65300213837</v>
      </c>
      <c r="Q24" s="184">
        <f>Q23*(1-'Master old'!N299)</f>
        <v>136185.98743430193</v>
      </c>
      <c r="R24" s="184">
        <f>R23*(1-'Master old'!O299)</f>
        <v>76649.983636363599</v>
      </c>
      <c r="S24" s="184">
        <f>S23*(1-'Master old'!P299)</f>
        <v>-107872.09999999999</v>
      </c>
      <c r="T24" s="184">
        <f>T23*(1-'Master old'!Q299)</f>
        <v>-52727.29</v>
      </c>
      <c r="U24" s="184">
        <f>U23*(1-'Master old'!R299)</f>
        <v>41836.5</v>
      </c>
      <c r="V24" s="184">
        <f>V23*(1-'Master old'!S299)</f>
        <v>39288.080000000002</v>
      </c>
      <c r="W24" s="184">
        <f>W23*(1-'Master old'!T299)</f>
        <v>-3723</v>
      </c>
      <c r="X24" s="184">
        <f ca="1">X23*(1-'Master old'!U299)</f>
        <v>59259.825753646401</v>
      </c>
      <c r="Y24" s="184">
        <f ca="1">Y23*(1-'Master old'!V299)</f>
        <v>84867.894057204961</v>
      </c>
      <c r="Z24" s="184">
        <f ca="1">Z23*(1-'Master old'!W299)</f>
        <v>124811.41006159375</v>
      </c>
      <c r="AA24" s="184">
        <f ca="1">AA23*(1-'Master old'!X299)</f>
        <v>154891.11045632209</v>
      </c>
      <c r="AB24" s="184">
        <f ca="1">AB23*(1-'Master old'!Y299)</f>
        <v>201286.91034465394</v>
      </c>
      <c r="AC24" s="184">
        <f ca="1">AC23*(1-'Master old'!Z299)</f>
        <v>233886.95151222721</v>
      </c>
      <c r="AD24" s="184">
        <f ca="1">AD23*(1-'Master old'!AA299)</f>
        <v>271126.19443147304</v>
      </c>
      <c r="AE24" s="184">
        <f ca="1">AE23*(1-'Master old'!AB299)</f>
        <v>301792.37807316368</v>
      </c>
      <c r="AF24" s="183"/>
      <c r="AG24" s="183"/>
      <c r="AH24" s="183"/>
      <c r="AI24" s="183"/>
    </row>
    <row r="25" spans="2:35">
      <c r="B25" s="181" t="s">
        <v>181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>
        <f>N7</f>
        <v>341600</v>
      </c>
      <c r="O25" s="182">
        <f>O7</f>
        <v>282700</v>
      </c>
      <c r="P25" s="182">
        <f t="shared" ref="P25:W25" si="14">P7</f>
        <v>337816</v>
      </c>
      <c r="Q25" s="182">
        <f t="shared" si="14"/>
        <v>374652</v>
      </c>
      <c r="R25" s="182">
        <f t="shared" si="14"/>
        <v>801000</v>
      </c>
      <c r="S25" s="182">
        <f t="shared" si="14"/>
        <v>954328</v>
      </c>
      <c r="T25" s="182">
        <f t="shared" si="14"/>
        <v>1267873</v>
      </c>
      <c r="U25" s="182">
        <f t="shared" si="14"/>
        <v>1374100</v>
      </c>
      <c r="V25" s="182">
        <f t="shared" si="14"/>
        <v>1443171</v>
      </c>
      <c r="W25" s="182">
        <f t="shared" si="14"/>
        <v>1638065</v>
      </c>
      <c r="X25" s="182">
        <f ca="1">X7</f>
        <v>1679884.7650244918</v>
      </c>
      <c r="Y25" s="182">
        <f ca="1">Y7</f>
        <v>1709982.419913491</v>
      </c>
      <c r="Z25" s="182">
        <f ca="1">Z7</f>
        <v>1701653.6452147611</v>
      </c>
      <c r="AA25" s="182">
        <f t="shared" ref="AA25:AD25" ca="1" si="15">AA7</f>
        <v>1663183.4617654032</v>
      </c>
      <c r="AB25" s="182">
        <f t="shared" ca="1" si="15"/>
        <v>1572011.4020452877</v>
      </c>
      <c r="AC25" s="182">
        <f t="shared" ca="1" si="15"/>
        <v>1443221.4983064022</v>
      </c>
      <c r="AD25" s="182">
        <f t="shared" ca="1" si="15"/>
        <v>1269169.9822329853</v>
      </c>
      <c r="AE25" s="182">
        <f t="shared" ref="AE25" ca="1" si="16">AE7</f>
        <v>1062133.3650582659</v>
      </c>
      <c r="AF25" s="183"/>
      <c r="AG25" s="183"/>
      <c r="AH25" s="183"/>
      <c r="AI25" s="183"/>
    </row>
    <row r="26" spans="2:35">
      <c r="B26" s="181" t="s">
        <v>447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>
        <v>0</v>
      </c>
      <c r="O26" s="182">
        <v>0</v>
      </c>
      <c r="P26" s="182">
        <v>0</v>
      </c>
      <c r="Q26" s="182">
        <v>0</v>
      </c>
      <c r="R26" s="182">
        <v>0</v>
      </c>
      <c r="S26" s="182">
        <v>0</v>
      </c>
      <c r="T26" s="182">
        <v>0</v>
      </c>
      <c r="U26" s="182">
        <v>0</v>
      </c>
      <c r="V26" s="182">
        <v>0</v>
      </c>
      <c r="W26" s="182">
        <v>0</v>
      </c>
      <c r="X26" s="182">
        <v>0</v>
      </c>
      <c r="Y26" s="182">
        <v>0</v>
      </c>
      <c r="Z26" s="182">
        <v>0</v>
      </c>
      <c r="AA26" s="182">
        <v>0</v>
      </c>
      <c r="AB26" s="182">
        <v>0</v>
      </c>
      <c r="AC26" s="182">
        <v>0</v>
      </c>
      <c r="AD26" s="182">
        <v>0</v>
      </c>
      <c r="AE26" s="182">
        <v>0</v>
      </c>
      <c r="AF26" s="183"/>
      <c r="AG26" s="183"/>
      <c r="AH26" s="183"/>
      <c r="AI26" s="183"/>
    </row>
    <row r="27" spans="2:35">
      <c r="B27" s="181" t="s">
        <v>448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>
        <f>'Master old'!K355</f>
        <v>660852</v>
      </c>
      <c r="O27" s="182">
        <f>'Master old'!L355</f>
        <v>721375</v>
      </c>
      <c r="P27" s="182">
        <f>'Master old'!M355</f>
        <v>773077</v>
      </c>
      <c r="Q27" s="182">
        <f>'Master old'!N355</f>
        <v>814007</v>
      </c>
      <c r="R27" s="182">
        <f>'Master old'!O355</f>
        <v>881085</v>
      </c>
      <c r="S27" s="182">
        <f>'Master old'!P355</f>
        <v>956345</v>
      </c>
      <c r="T27" s="182">
        <f>'Master old'!Q355</f>
        <v>955347</v>
      </c>
      <c r="U27" s="182">
        <f>'Master old'!R355</f>
        <v>1261872</v>
      </c>
      <c r="V27" s="182">
        <f>'Master old'!S355</f>
        <v>1238351</v>
      </c>
      <c r="W27" s="182">
        <f>'Master old'!T355</f>
        <v>1366422</v>
      </c>
      <c r="X27" s="182">
        <f ca="1">'Master old'!U355</f>
        <v>1427673.9044480678</v>
      </c>
      <c r="Y27" s="182">
        <f ca="1">'Master old'!V355</f>
        <v>1490612.2116497268</v>
      </c>
      <c r="Z27" s="182">
        <f ca="1">'Master old'!W355</f>
        <v>1579140.3979656608</v>
      </c>
      <c r="AA27" s="182">
        <f ca="1">'Master old'!X355</f>
        <v>1690569.0058761118</v>
      </c>
      <c r="AB27" s="182">
        <f ca="1">'Master old'!Y355</f>
        <v>1829479.1667202236</v>
      </c>
      <c r="AC27" s="182">
        <f ca="1">'Master old'!Z355</f>
        <v>1995851.8321522938</v>
      </c>
      <c r="AD27" s="182">
        <f ca="1">'Master old'!AA355</f>
        <v>2192023.8696538033</v>
      </c>
      <c r="AE27" s="182">
        <f ca="1">'Master old'!AB355</f>
        <v>2415260.7578735705</v>
      </c>
      <c r="AF27" s="183"/>
      <c r="AG27" s="183"/>
      <c r="AH27" s="183"/>
      <c r="AI27" s="183"/>
    </row>
    <row r="28" spans="2:35">
      <c r="B28" s="181" t="s">
        <v>449</v>
      </c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>
        <f>'Master old'!K293</f>
        <v>10184</v>
      </c>
      <c r="O28" s="182">
        <f>'Master old'!L293</f>
        <v>8931</v>
      </c>
      <c r="P28" s="182">
        <f>'Master old'!M293</f>
        <v>18901</v>
      </c>
      <c r="Q28" s="182">
        <f>'Master old'!N293</f>
        <v>22944</v>
      </c>
      <c r="R28" s="182">
        <f>'Master old'!O293</f>
        <v>41420</v>
      </c>
      <c r="S28" s="182">
        <f>'Master old'!P293</f>
        <v>78313</v>
      </c>
      <c r="T28" s="182">
        <f>'Master old'!Q293</f>
        <v>94727</v>
      </c>
      <c r="U28" s="182">
        <f>'Master old'!R293</f>
        <v>108256</v>
      </c>
      <c r="V28" s="182">
        <f>'Master old'!S293</f>
        <v>91223</v>
      </c>
      <c r="W28" s="182">
        <f>'Master old'!T293</f>
        <v>93184</v>
      </c>
      <c r="X28" s="182">
        <f ca="1">'Master old'!U293</f>
        <v>100342.79454869482</v>
      </c>
      <c r="Y28" s="182">
        <f ca="1">'Master old'!V293</f>
        <v>102517.75059140584</v>
      </c>
      <c r="Z28" s="182">
        <f ca="1">'Master old'!W293</f>
        <v>103176.09397427234</v>
      </c>
      <c r="AA28" s="182">
        <f ca="1">'Master old'!X293</f>
        <v>101760.78073112207</v>
      </c>
      <c r="AB28" s="182">
        <f ca="1">'Master old'!Y293</f>
        <v>97840.086961639885</v>
      </c>
      <c r="AC28" s="182">
        <f ca="1">'Master old'!Z293</f>
        <v>91187.907250977165</v>
      </c>
      <c r="AD28" s="182">
        <f ca="1">'Master old'!AA293</f>
        <v>82029.253105760901</v>
      </c>
      <c r="AE28" s="182">
        <f ca="1">'Master old'!AB293</f>
        <v>76765.515932176888</v>
      </c>
      <c r="AF28" s="183"/>
      <c r="AG28" s="183"/>
      <c r="AH28" s="183"/>
      <c r="AI28" s="183"/>
    </row>
    <row r="29" spans="2:35">
      <c r="B29" s="181" t="s">
        <v>450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>
        <f>'Master old'!K302</f>
        <v>150614</v>
      </c>
      <c r="O29" s="182">
        <f>'Master old'!L302</f>
        <v>175068</v>
      </c>
      <c r="P29" s="182">
        <f>'Master old'!M302</f>
        <v>180767</v>
      </c>
      <c r="Q29" s="182">
        <f>'Master old'!N302</f>
        <v>167294</v>
      </c>
      <c r="R29" s="182">
        <f>'Master old'!O302</f>
        <v>141587</v>
      </c>
      <c r="S29" s="182">
        <f>'Master old'!P302</f>
        <v>56471</v>
      </c>
      <c r="T29" s="182">
        <f>'Master old'!Q302</f>
        <v>7098</v>
      </c>
      <c r="U29" s="182">
        <f>'Master old'!R302</f>
        <v>34158</v>
      </c>
      <c r="V29" s="182">
        <f>'Master old'!S302</f>
        <v>43391</v>
      </c>
      <c r="W29" s="182">
        <f>'Master old'!T302</f>
        <v>-23615</v>
      </c>
      <c r="X29" s="182">
        <f ca="1">'Master old'!U302</f>
        <v>61251.904448067726</v>
      </c>
      <c r="Y29" s="182">
        <f ca="1">'Master old'!V302</f>
        <v>77946.188451659138</v>
      </c>
      <c r="Z29" s="182">
        <f ca="1">'Master old'!W302</f>
        <v>108038.43194093388</v>
      </c>
      <c r="AA29" s="182">
        <f ca="1">'Master old'!X302</f>
        <v>133865.39037920092</v>
      </c>
      <c r="AB29" s="182">
        <f ca="1">'Master old'!Y302</f>
        <v>164712.46068317417</v>
      </c>
      <c r="AC29" s="182">
        <f ca="1">'Master old'!Z302</f>
        <v>194755.19525503891</v>
      </c>
      <c r="AD29" s="182">
        <f ca="1">'Master old'!AA302</f>
        <v>227392.82030677507</v>
      </c>
      <c r="AE29" s="182">
        <f ca="1">'Master old'!AB302</f>
        <v>257579.74930555923</v>
      </c>
      <c r="AF29" s="183"/>
      <c r="AG29" s="183"/>
      <c r="AH29" s="183"/>
      <c r="AI29" s="183"/>
    </row>
    <row r="30" spans="2:35">
      <c r="B30" s="181" t="s">
        <v>451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>
        <f>N29</f>
        <v>150614</v>
      </c>
      <c r="O30" s="182">
        <f>O29</f>
        <v>175068</v>
      </c>
      <c r="P30" s="182">
        <f t="shared" ref="P30:W30" si="17">P29</f>
        <v>180767</v>
      </c>
      <c r="Q30" s="182">
        <f t="shared" si="17"/>
        <v>167294</v>
      </c>
      <c r="R30" s="182">
        <f t="shared" si="17"/>
        <v>141587</v>
      </c>
      <c r="S30" s="182">
        <f t="shared" si="17"/>
        <v>56471</v>
      </c>
      <c r="T30" s="182">
        <f t="shared" si="17"/>
        <v>7098</v>
      </c>
      <c r="U30" s="182">
        <f t="shared" si="17"/>
        <v>34158</v>
      </c>
      <c r="V30" s="182">
        <f t="shared" si="17"/>
        <v>43391</v>
      </c>
      <c r="W30" s="182">
        <f t="shared" si="17"/>
        <v>-23615</v>
      </c>
      <c r="X30" s="182">
        <f ca="1">X29</f>
        <v>61251.904448067726</v>
      </c>
      <c r="Y30" s="182">
        <f ca="1">Y29</f>
        <v>77946.188451659138</v>
      </c>
      <c r="Z30" s="182">
        <f ca="1">Z29</f>
        <v>108038.43194093388</v>
      </c>
      <c r="AA30" s="182">
        <f t="shared" ref="AA30:AD30" ca="1" si="18">AA29</f>
        <v>133865.39037920092</v>
      </c>
      <c r="AB30" s="182">
        <f t="shared" ca="1" si="18"/>
        <v>164712.46068317417</v>
      </c>
      <c r="AC30" s="182">
        <f t="shared" ca="1" si="18"/>
        <v>194755.19525503891</v>
      </c>
      <c r="AD30" s="182">
        <f t="shared" ca="1" si="18"/>
        <v>227392.82030677507</v>
      </c>
      <c r="AE30" s="182">
        <f t="shared" ref="AE30" ca="1" si="19">AE29</f>
        <v>257579.74930555923</v>
      </c>
      <c r="AF30" s="183"/>
      <c r="AG30" s="183"/>
      <c r="AH30" s="183"/>
      <c r="AI30" s="183"/>
    </row>
    <row r="31" spans="2:35">
      <c r="B31" s="181" t="s">
        <v>452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>
        <f>'Master old'!K305</f>
        <v>174368</v>
      </c>
      <c r="O31" s="182">
        <f>'Master old'!L305</f>
        <v>212524</v>
      </c>
      <c r="P31" s="182">
        <f>'Master old'!M305</f>
        <v>211638</v>
      </c>
      <c r="Q31" s="182">
        <f>'Master old'!N305</f>
        <v>235093</v>
      </c>
      <c r="R31" s="182">
        <f>'Master old'!O305</f>
        <v>24440.479545454495</v>
      </c>
      <c r="S31" s="182">
        <f>'Master old'!P305</f>
        <v>-218068</v>
      </c>
      <c r="T31" s="182">
        <f>'Master old'!Q305</f>
        <v>-150423</v>
      </c>
      <c r="U31" s="182">
        <f>'Master old'!R305</f>
        <v>-24456</v>
      </c>
      <c r="V31" s="182">
        <f>'Master old'!S305</f>
        <v>-20723</v>
      </c>
      <c r="W31" s="182">
        <f>'Master old'!T305</f>
        <v>-119628</v>
      </c>
      <c r="X31" s="182">
        <f ca="1">'Master old'!U305</f>
        <v>-41819.76502449192</v>
      </c>
      <c r="Y31" s="182">
        <f ca="1">'Master old'!V305</f>
        <v>-15089.773638999002</v>
      </c>
      <c r="Z31" s="182">
        <f ca="1">'Master old'!W305</f>
        <v>27839.020323729856</v>
      </c>
      <c r="AA31" s="182">
        <f ca="1">'Master old'!X305</f>
        <v>60906.965918107846</v>
      </c>
      <c r="AB31" s="182">
        <f ca="1">'Master old'!Y305</f>
        <v>116974.3595591778</v>
      </c>
      <c r="AC31" s="182">
        <f ca="1">'Master old'!Z305</f>
        <v>157172.43356185395</v>
      </c>
      <c r="AD31" s="182">
        <f ca="1">'Master old'!AA305</f>
        <v>205272.29887868263</v>
      </c>
      <c r="AE31" s="182">
        <f ca="1">'Master old'!AB305</f>
        <v>241379.47826051168</v>
      </c>
      <c r="AF31" s="183"/>
      <c r="AG31" s="183"/>
      <c r="AH31" s="183"/>
      <c r="AI31" s="183"/>
    </row>
    <row r="32" spans="2:35">
      <c r="B32" s="181" t="s">
        <v>453</v>
      </c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3"/>
      <c r="AG32" s="183"/>
      <c r="AH32" s="183"/>
      <c r="AI32" s="183"/>
    </row>
    <row r="33" spans="2:35">
      <c r="B33" s="181" t="s">
        <v>454</v>
      </c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>
        <f>'Master old'!K338</f>
        <v>932092</v>
      </c>
      <c r="O33" s="182">
        <f>'Master old'!L338</f>
        <v>978457</v>
      </c>
      <c r="P33" s="182">
        <f>'Master old'!M338</f>
        <v>1056555</v>
      </c>
      <c r="Q33" s="182">
        <f>'Master old'!N338</f>
        <v>1117450</v>
      </c>
      <c r="R33" s="182">
        <f>'Master old'!O338</f>
        <v>1134267</v>
      </c>
      <c r="S33" s="182">
        <f>'Master old'!P338</f>
        <v>1614979</v>
      </c>
      <c r="T33" s="182">
        <f>'Master old'!Q338</f>
        <v>1785575</v>
      </c>
      <c r="U33" s="182">
        <f>'Master old'!R338</f>
        <v>1829611</v>
      </c>
      <c r="V33" s="182">
        <f>'Master old'!S338</f>
        <v>1876555</v>
      </c>
      <c r="W33" s="182">
        <f>'Master old'!T338</f>
        <v>2035133</v>
      </c>
      <c r="X33" s="182">
        <f ca="1">'Master old'!U338</f>
        <v>2138204.6694725594</v>
      </c>
      <c r="Y33" s="182">
        <f ca="1">'Master old'!V338</f>
        <v>2231240.6315632174</v>
      </c>
      <c r="Z33" s="182">
        <f ca="1">'Master old'!W338</f>
        <v>2311440.0431804215</v>
      </c>
      <c r="AA33" s="182">
        <f ca="1">'Master old'!X338</f>
        <v>2384398.4676415147</v>
      </c>
      <c r="AB33" s="182">
        <f ca="1">'Master old'!Y338</f>
        <v>2432136.5687655108</v>
      </c>
      <c r="AC33" s="182">
        <f ca="1">'Master old'!Z338</f>
        <v>2469719.3304586955</v>
      </c>
      <c r="AD33" s="182">
        <f ca="1">'Master old'!AA338</f>
        <v>2491839.8518867879</v>
      </c>
      <c r="AE33" s="182">
        <f ca="1">'Master old'!AB338</f>
        <v>2508040.1229318352</v>
      </c>
      <c r="AF33" s="183"/>
      <c r="AG33" s="183"/>
      <c r="AH33" s="183"/>
      <c r="AI33" s="183"/>
    </row>
    <row r="34" spans="2:35">
      <c r="B34" s="120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2:35">
      <c r="B35" s="180" t="s">
        <v>455</v>
      </c>
      <c r="C35" s="180">
        <v>1998</v>
      </c>
      <c r="D35" s="180">
        <v>1999</v>
      </c>
      <c r="E35" s="180">
        <v>2000</v>
      </c>
      <c r="F35" s="180">
        <v>2001</v>
      </c>
      <c r="G35" s="180">
        <v>2002</v>
      </c>
      <c r="H35" s="180">
        <v>2003</v>
      </c>
      <c r="I35" s="180">
        <v>2004</v>
      </c>
      <c r="J35" s="180">
        <v>2005</v>
      </c>
      <c r="K35" s="180">
        <v>2006</v>
      </c>
      <c r="L35" s="180">
        <v>2007</v>
      </c>
      <c r="M35" s="180">
        <v>2008</v>
      </c>
      <c r="N35" s="180">
        <v>2009</v>
      </c>
      <c r="O35" s="180">
        <v>2010</v>
      </c>
      <c r="P35" s="180">
        <v>2011</v>
      </c>
      <c r="Q35" s="180">
        <v>2012</v>
      </c>
      <c r="R35" s="180">
        <v>2013</v>
      </c>
      <c r="S35" s="180">
        <v>2014</v>
      </c>
      <c r="T35" s="180">
        <v>2015</v>
      </c>
      <c r="U35" s="180">
        <v>2016</v>
      </c>
      <c r="V35" s="180">
        <v>2017</v>
      </c>
      <c r="W35" s="180">
        <v>2018</v>
      </c>
      <c r="X35" s="180">
        <f>X17</f>
        <v>2019</v>
      </c>
      <c r="Y35" s="180">
        <f>Y17</f>
        <v>2020</v>
      </c>
      <c r="Z35" s="180">
        <f>Z17</f>
        <v>2021</v>
      </c>
      <c r="AA35" s="180">
        <v>2022</v>
      </c>
      <c r="AB35" s="180">
        <v>2023</v>
      </c>
      <c r="AC35" s="180">
        <v>2024</v>
      </c>
      <c r="AD35" s="180">
        <v>2025</v>
      </c>
      <c r="AE35" s="180">
        <v>2026</v>
      </c>
      <c r="AF35" s="180">
        <v>2027</v>
      </c>
      <c r="AG35" s="180">
        <v>2028</v>
      </c>
      <c r="AH35" s="180">
        <v>2029</v>
      </c>
      <c r="AI35" s="180">
        <v>2030</v>
      </c>
    </row>
    <row r="36" spans="2:35">
      <c r="B36" s="181" t="s">
        <v>456</v>
      </c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>
        <f>'Master old'!K11</f>
        <v>6457</v>
      </c>
      <c r="O36" s="182">
        <f>'Master old'!L11</f>
        <v>7568</v>
      </c>
      <c r="P36" s="182">
        <f>'Master old'!M11</f>
        <v>9183</v>
      </c>
      <c r="Q36" s="182">
        <f>'Master old'!N11</f>
        <v>10106</v>
      </c>
      <c r="R36" s="182">
        <f>'Master old'!O11</f>
        <v>10429</v>
      </c>
      <c r="S36" s="182">
        <f>'Master old'!P11</f>
        <v>10103</v>
      </c>
      <c r="T36" s="182">
        <f>'Master old'!Q11</f>
        <v>9711</v>
      </c>
      <c r="U36" s="182">
        <f>'Master old'!R11</f>
        <v>9514</v>
      </c>
      <c r="V36" s="182">
        <f>'Master old'!S11</f>
        <v>8997</v>
      </c>
      <c r="W36" s="182">
        <f>'Master old'!T11</f>
        <v>9260</v>
      </c>
      <c r="X36" s="182">
        <f>'Master old'!U11</f>
        <v>9167.0567839550022</v>
      </c>
      <c r="Y36" s="182">
        <f>'Master old'!V11</f>
        <v>9044.8676186794019</v>
      </c>
      <c r="Z36" s="182">
        <f>'Master old'!W11</f>
        <v>8919.3179644198954</v>
      </c>
      <c r="AA36" s="182">
        <f>'Master old'!X11</f>
        <v>8790.352830313328</v>
      </c>
      <c r="AB36" s="182">
        <f>'Master old'!Y11</f>
        <v>8657.9164617281913</v>
      </c>
      <c r="AC36" s="182">
        <f>'Master old'!Z11</f>
        <v>8521.9523304883169</v>
      </c>
      <c r="AD36" s="182">
        <f>'Master old'!AA11</f>
        <v>8382.4031249774725</v>
      </c>
      <c r="AE36" s="182">
        <f>'Master old'!AB11</f>
        <v>8239.2107401233625</v>
      </c>
      <c r="AF36" s="183"/>
      <c r="AG36" s="183"/>
      <c r="AH36" s="183"/>
      <c r="AI36" s="183"/>
    </row>
    <row r="37" spans="2:35">
      <c r="B37" s="181" t="s">
        <v>457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>
        <f t="shared" ref="N37:X37" si="20">N36</f>
        <v>6457</v>
      </c>
      <c r="O37" s="182">
        <f t="shared" si="20"/>
        <v>7568</v>
      </c>
      <c r="P37" s="182">
        <f t="shared" si="20"/>
        <v>9183</v>
      </c>
      <c r="Q37" s="182">
        <f t="shared" si="20"/>
        <v>10106</v>
      </c>
      <c r="R37" s="182">
        <f t="shared" si="20"/>
        <v>10429</v>
      </c>
      <c r="S37" s="182">
        <f t="shared" si="20"/>
        <v>10103</v>
      </c>
      <c r="T37" s="182">
        <f t="shared" si="20"/>
        <v>9711</v>
      </c>
      <c r="U37" s="182">
        <f t="shared" si="20"/>
        <v>9514</v>
      </c>
      <c r="V37" s="182">
        <f t="shared" si="20"/>
        <v>8997</v>
      </c>
      <c r="W37" s="182">
        <f t="shared" si="20"/>
        <v>9260</v>
      </c>
      <c r="X37" s="182">
        <f t="shared" si="20"/>
        <v>9167.0567839550022</v>
      </c>
      <c r="Y37" s="182">
        <f t="shared" ref="Y37:Z37" si="21">Y36</f>
        <v>9044.8676186794019</v>
      </c>
      <c r="Z37" s="182">
        <f t="shared" si="21"/>
        <v>8919.3179644198954</v>
      </c>
      <c r="AA37" s="182">
        <f t="shared" ref="AA37:AD37" si="22">AA36</f>
        <v>8790.352830313328</v>
      </c>
      <c r="AB37" s="182">
        <f t="shared" si="22"/>
        <v>8657.9164617281913</v>
      </c>
      <c r="AC37" s="182">
        <f t="shared" si="22"/>
        <v>8521.9523304883169</v>
      </c>
      <c r="AD37" s="182">
        <f t="shared" si="22"/>
        <v>8382.4031249774725</v>
      </c>
      <c r="AE37" s="182">
        <f t="shared" ref="AE37" si="23">AE36</f>
        <v>8239.2107401233625</v>
      </c>
      <c r="AF37" s="183"/>
      <c r="AG37" s="183"/>
      <c r="AH37" s="183"/>
      <c r="AI37" s="183"/>
    </row>
    <row r="38" spans="2:35">
      <c r="B38" s="181" t="s">
        <v>458</v>
      </c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>
        <f>'Master old'!K4*1000</f>
        <v>16831.683168316831</v>
      </c>
      <c r="O38" s="182">
        <f>'Master old'!L4*1000</f>
        <v>17000</v>
      </c>
      <c r="P38" s="182">
        <f>'Master old'!M4*1000</f>
        <v>17170</v>
      </c>
      <c r="Q38" s="182">
        <f>'Master old'!N4*1000</f>
        <v>17341.700000000004</v>
      </c>
      <c r="R38" s="182">
        <f>'Master old'!O4*1000</f>
        <v>17515.117000000002</v>
      </c>
      <c r="S38" s="182">
        <f>'Master old'!P4*1000</f>
        <v>17690.268170000003</v>
      </c>
      <c r="T38" s="182">
        <f>'Master old'!Q4*1000</f>
        <v>17867.170851700004</v>
      </c>
      <c r="U38" s="182">
        <f>'Master old'!R4*1000</f>
        <v>18045.842560217003</v>
      </c>
      <c r="V38" s="182">
        <f>'Master old'!S4*1000</f>
        <v>18226.300985819176</v>
      </c>
      <c r="W38" s="182">
        <f>'Master old'!T4*1000</f>
        <v>18408.56399567737</v>
      </c>
      <c r="X38" s="182">
        <f>'Master old'!U4*1000</f>
        <v>18592.649635634141</v>
      </c>
      <c r="Y38" s="182">
        <f>'Master old'!V4*1000</f>
        <v>18778.576131990485</v>
      </c>
      <c r="Z38" s="182">
        <f>'Master old'!W4*1000</f>
        <v>18966.36189331039</v>
      </c>
      <c r="AA38" s="182">
        <f>'Master old'!X4*1000</f>
        <v>19156.02551224349</v>
      </c>
      <c r="AB38" s="182">
        <f>'Master old'!Y4*1000</f>
        <v>19347.585767365927</v>
      </c>
      <c r="AC38" s="182">
        <f>'Master old'!Z4*1000</f>
        <v>19541.061625039587</v>
      </c>
      <c r="AD38" s="182">
        <f>'Master old'!AA4*1000</f>
        <v>19736.472241289979</v>
      </c>
      <c r="AE38" s="182">
        <f>'Master old'!AB4*1000</f>
        <v>19933.836963702881</v>
      </c>
      <c r="AF38" s="183"/>
      <c r="AG38" s="183"/>
      <c r="AH38" s="183"/>
      <c r="AI38" s="183"/>
    </row>
    <row r="39" spans="2:35">
      <c r="B39" s="181" t="s">
        <v>459</v>
      </c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>
        <f>'Master old'!K16</f>
        <v>17622</v>
      </c>
      <c r="O39" s="182">
        <f>'Master old'!L16</f>
        <v>21298</v>
      </c>
      <c r="P39" s="182">
        <f>'Master old'!M16</f>
        <v>24346</v>
      </c>
      <c r="Q39" s="182">
        <f>'Master old'!N16</f>
        <v>26656</v>
      </c>
      <c r="R39" s="182">
        <f>'Master old'!O16</f>
        <v>27151</v>
      </c>
      <c r="S39" s="182">
        <f>'Master old'!P16</f>
        <v>26867.5</v>
      </c>
      <c r="T39" s="182">
        <f>'Master old'!Q16</f>
        <v>26796</v>
      </c>
      <c r="U39" s="182">
        <f>'Master old'!R16</f>
        <v>27402</v>
      </c>
      <c r="V39" s="182">
        <f>'Master old'!S16</f>
        <v>27676.020000000004</v>
      </c>
      <c r="W39" s="182">
        <f>'Master old'!T16</f>
        <v>27952.780200000008</v>
      </c>
      <c r="X39" s="182">
        <f>'Master old'!U16</f>
        <v>28232.308002000005</v>
      </c>
      <c r="Y39" s="182">
        <f>'Master old'!V16</f>
        <v>28514.631082020005</v>
      </c>
      <c r="Z39" s="182">
        <f>'Master old'!W16</f>
        <v>28799.777392840209</v>
      </c>
      <c r="AA39" s="182">
        <f>'Master old'!X16</f>
        <v>29087.77516676861</v>
      </c>
      <c r="AB39" s="182">
        <f>'Master old'!Y16</f>
        <v>29378.652918436299</v>
      </c>
      <c r="AC39" s="182">
        <f>'Master old'!Z16</f>
        <v>29672.439447620658</v>
      </c>
      <c r="AD39" s="182">
        <f>'Master old'!AA16</f>
        <v>29969.163842096863</v>
      </c>
      <c r="AE39" s="182">
        <f>'Master old'!AB16</f>
        <v>30268.855480517832</v>
      </c>
      <c r="AF39" s="183"/>
      <c r="AG39" s="183"/>
      <c r="AH39" s="183"/>
      <c r="AI39" s="183"/>
    </row>
    <row r="40" spans="2:35">
      <c r="B40" s="181" t="s">
        <v>460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>
        <f>'Master old'!K216</f>
        <v>740775</v>
      </c>
      <c r="O40" s="182">
        <f>'Master old'!L216</f>
        <v>840055</v>
      </c>
      <c r="P40" s="182">
        <f>'Master old'!M216</f>
        <v>966709</v>
      </c>
      <c r="Q40" s="182">
        <f>'Master old'!N216</f>
        <v>1142690</v>
      </c>
      <c r="R40" s="182">
        <f>'Master old'!O216</f>
        <v>1271726</v>
      </c>
      <c r="S40" s="182">
        <f>'Master old'!P216</f>
        <v>1150533</v>
      </c>
      <c r="T40" s="182">
        <f>'Master old'!Q216</f>
        <v>1150219</v>
      </c>
      <c r="U40" s="182">
        <f>'Master old'!R216</f>
        <v>1082156</v>
      </c>
      <c r="V40" s="182">
        <f>'Master old'!S216</f>
        <v>1050383</v>
      </c>
      <c r="W40" s="182">
        <f>'Master old'!T216</f>
        <v>1001679</v>
      </c>
      <c r="X40" s="182">
        <f>'Master old'!U216</f>
        <v>968403.96862855472</v>
      </c>
      <c r="Y40" s="182">
        <f>'Master old'!V216</f>
        <v>968500.22316318192</v>
      </c>
      <c r="Z40" s="182">
        <f>'Master old'!W216</f>
        <v>972540.12042783445</v>
      </c>
      <c r="AA40" s="182">
        <f>'Master old'!X216</f>
        <v>981378.41127974924</v>
      </c>
      <c r="AB40" s="182">
        <f>'Master old'!Y216</f>
        <v>994538.85503036913</v>
      </c>
      <c r="AC40" s="182">
        <f>'Master old'!Z216</f>
        <v>1011593.6503816172</v>
      </c>
      <c r="AD40" s="182">
        <f>'Master old'!AA216</f>
        <v>1032155.6304227852</v>
      </c>
      <c r="AE40" s="182">
        <f>'Master old'!AB216</f>
        <v>1055871.1673589346</v>
      </c>
      <c r="AF40" s="183"/>
      <c r="AG40" s="183"/>
      <c r="AH40" s="183"/>
      <c r="AI40" s="183"/>
    </row>
    <row r="41" spans="2:35">
      <c r="B41" s="181" t="s">
        <v>461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>
        <f t="shared" ref="N41:X41" si="24">N18</f>
        <v>994671</v>
      </c>
      <c r="O41" s="182">
        <f t="shared" si="24"/>
        <v>1086816</v>
      </c>
      <c r="P41" s="182">
        <f t="shared" si="24"/>
        <v>1240915</v>
      </c>
      <c r="Q41" s="182">
        <f t="shared" si="24"/>
        <v>1440888</v>
      </c>
      <c r="R41" s="182">
        <f t="shared" si="24"/>
        <v>1643930</v>
      </c>
      <c r="S41" s="182">
        <f t="shared" si="24"/>
        <v>1664053</v>
      </c>
      <c r="T41" s="182">
        <f t="shared" si="24"/>
        <v>1792864</v>
      </c>
      <c r="U41" s="182">
        <f t="shared" si="24"/>
        <v>1876002</v>
      </c>
      <c r="V41" s="182">
        <f t="shared" si="24"/>
        <v>1955170</v>
      </c>
      <c r="W41" s="182">
        <f t="shared" si="24"/>
        <v>1936098</v>
      </c>
      <c r="X41" s="182">
        <f t="shared" ca="1" si="24"/>
        <v>1994383.0818467499</v>
      </c>
      <c r="Y41" s="182">
        <f t="shared" ref="Y41:Z41" ca="1" si="25">Y18</f>
        <v>2126844.2045565024</v>
      </c>
      <c r="Z41" s="182">
        <f t="shared" ca="1" si="25"/>
        <v>2175250.9286778364</v>
      </c>
      <c r="AA41" s="182">
        <f t="shared" ref="AA41:AD41" ca="1" si="26">AA18</f>
        <v>2219673.1682425952</v>
      </c>
      <c r="AB41" s="182">
        <f t="shared" ca="1" si="26"/>
        <v>2274803.4363927725</v>
      </c>
      <c r="AC41" s="182">
        <f t="shared" ca="1" si="26"/>
        <v>2335603.3308694656</v>
      </c>
      <c r="AD41" s="182">
        <f t="shared" ca="1" si="26"/>
        <v>2401986.6576730232</v>
      </c>
      <c r="AE41" s="182">
        <f t="shared" ref="AE41" ca="1" si="27">AE18</f>
        <v>2473879.3809229173</v>
      </c>
      <c r="AF41" s="183"/>
      <c r="AG41" s="183"/>
      <c r="AH41" s="183"/>
      <c r="AI41" s="183"/>
    </row>
    <row r="42" spans="2:35">
      <c r="B42" s="181" t="s">
        <v>462</v>
      </c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>
        <f>'Master old'!K228</f>
        <v>304061</v>
      </c>
      <c r="O42" s="182">
        <f>'Master old'!L228</f>
        <v>334261</v>
      </c>
      <c r="P42" s="182">
        <f ca="1">'Master old'!M228</f>
        <v>396348</v>
      </c>
      <c r="Q42" s="182">
        <f>'Master old'!N228</f>
        <v>420774</v>
      </c>
      <c r="R42" s="182">
        <f>'Master old'!O228</f>
        <v>348218</v>
      </c>
      <c r="S42" s="182">
        <f>'Master old'!P228</f>
        <v>406847</v>
      </c>
      <c r="T42" s="182">
        <f>'Master old'!Q228</f>
        <v>457197</v>
      </c>
      <c r="U42" s="182">
        <f>'Master old'!R228</f>
        <v>439898</v>
      </c>
      <c r="V42" s="182">
        <f>'Master old'!S228</f>
        <v>414818</v>
      </c>
      <c r="W42" s="182">
        <f>'Master old'!T228</f>
        <v>370706</v>
      </c>
      <c r="X42" s="182">
        <f>'Master old'!U228</f>
        <v>392203.60729456466</v>
      </c>
      <c r="Y42" s="182">
        <f>'Master old'!V228</f>
        <v>392242.59038108872</v>
      </c>
      <c r="Z42" s="182">
        <f>'Master old'!W228</f>
        <v>393878.74877327296</v>
      </c>
      <c r="AA42" s="182">
        <f>'Master old'!X228</f>
        <v>397458.25656829844</v>
      </c>
      <c r="AB42" s="182">
        <f>'Master old'!Y228</f>
        <v>402788.23628729954</v>
      </c>
      <c r="AC42" s="182">
        <f>'Master old'!Z228</f>
        <v>409695.42840455502</v>
      </c>
      <c r="AD42" s="182">
        <f>'Master old'!AA228</f>
        <v>418023.03032122803</v>
      </c>
      <c r="AE42" s="182">
        <f>'Master old'!AB228</f>
        <v>427627.82278036856</v>
      </c>
      <c r="AF42" s="183"/>
      <c r="AG42" s="183"/>
      <c r="AH42" s="183"/>
      <c r="AI42" s="183"/>
    </row>
    <row r="43" spans="2:35">
      <c r="B43" s="181" t="s">
        <v>463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>
        <f>'Master old'!K233</f>
        <v>401358</v>
      </c>
      <c r="O43" s="182">
        <f>'Master old'!L233</f>
        <v>446429</v>
      </c>
      <c r="P43" s="182">
        <f>'Master old'!M233</f>
        <v>515199</v>
      </c>
      <c r="Q43" s="182">
        <f>'Master old'!N233</f>
        <v>542625</v>
      </c>
      <c r="R43" s="182">
        <f>'Master old'!O233</f>
        <v>461938</v>
      </c>
      <c r="S43" s="182">
        <f>'Master old'!P233</f>
        <v>366150</v>
      </c>
      <c r="T43" s="182">
        <f>'Master old'!Q233</f>
        <v>364786</v>
      </c>
      <c r="U43" s="182">
        <f>'Master old'!R233</f>
        <v>416281</v>
      </c>
      <c r="V43" s="182">
        <f>'Master old'!S233</f>
        <v>440103</v>
      </c>
      <c r="W43" s="182">
        <f>'Master old'!T233</f>
        <v>426921</v>
      </c>
      <c r="X43" s="182">
        <f ca="1">'Master old'!U233</f>
        <v>503350.80606618541</v>
      </c>
      <c r="Y43" s="182">
        <f ca="1">'Master old'!V233</f>
        <v>549588.42393915739</v>
      </c>
      <c r="Z43" s="182">
        <f ca="1">'Master old'!W233</f>
        <v>599214.0945366082</v>
      </c>
      <c r="AA43" s="182">
        <f ca="1">'Master old'!X233</f>
        <v>640285.73474473308</v>
      </c>
      <c r="AB43" s="182">
        <f ca="1">'Master old'!Y233</f>
        <v>687442.14456965355</v>
      </c>
      <c r="AC43" s="182">
        <f ca="1">'Master old'!Z233</f>
        <v>731672.37889562442</v>
      </c>
      <c r="AD43" s="182">
        <f ca="1">'Master old'!AA233</f>
        <v>777844.1324523146</v>
      </c>
      <c r="AE43" s="182">
        <f ca="1">'Master old'!AB233</f>
        <v>825435.1885312947</v>
      </c>
      <c r="AF43" s="183"/>
      <c r="AG43" s="183"/>
      <c r="AH43" s="183"/>
      <c r="AI43" s="183"/>
    </row>
    <row r="44" spans="2:35">
      <c r="B44" s="181" t="s">
        <v>464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>
        <f>'Master old'!K246+'Master old'!K254</f>
        <v>180108.62999999998</v>
      </c>
      <c r="O44" s="182">
        <f>'Master old'!L246+'Master old'!L254</f>
        <v>200611.28999999998</v>
      </c>
      <c r="P44" s="182">
        <f>'Master old'!M246+'Master old'!M254</f>
        <v>247313.93999999997</v>
      </c>
      <c r="Q44" s="182">
        <f>'Master old'!N246+'Master old'!N254</f>
        <v>262838.25</v>
      </c>
      <c r="R44" s="182">
        <f>'Master old'!O246+'Master old'!O254</f>
        <v>201369.03625000003</v>
      </c>
      <c r="S44" s="182">
        <f>'Master old'!P246+'Master old'!P254</f>
        <v>241542.39999999999</v>
      </c>
      <c r="T44" s="182">
        <f>'Master old'!Q246+'Master old'!Q254</f>
        <v>173305.2</v>
      </c>
      <c r="U44" s="182">
        <f>'Master old'!R246+'Master old'!R254</f>
        <v>144199.6</v>
      </c>
      <c r="V44" s="182">
        <f>'Master old'!S246+'Master old'!S254</f>
        <v>154804.4</v>
      </c>
      <c r="W44" s="182">
        <f>'Master old'!T246+'Master old'!T254</f>
        <v>172808.40000000002</v>
      </c>
      <c r="X44" s="182">
        <f>'Master old'!U246+'Master old'!U254</f>
        <v>159786.65482371155</v>
      </c>
      <c r="Y44" s="182">
        <f>'Master old'!V246+'Master old'!V254</f>
        <v>159802.53682192502</v>
      </c>
      <c r="Z44" s="182">
        <f>'Master old'!W246+'Master old'!W254</f>
        <v>158037.76956952311</v>
      </c>
      <c r="AA44" s="182">
        <f>'Master old'!X246+'Master old'!X254</f>
        <v>157020.54580475989</v>
      </c>
      <c r="AB44" s="182">
        <f>'Master old'!Y246+'Master old'!Y254</f>
        <v>139235.43970425168</v>
      </c>
      <c r="AC44" s="182">
        <f>'Master old'!Z246+'Master old'!Z254</f>
        <v>141623.11105342643</v>
      </c>
      <c r="AD44" s="182">
        <f>'Master old'!AA246+'Master old'!AA254</f>
        <v>144501.78825918993</v>
      </c>
      <c r="AE44" s="182">
        <f>'Master old'!AB246+'Master old'!AB254</f>
        <v>147821.96343025088</v>
      </c>
      <c r="AF44" s="183"/>
      <c r="AG44" s="183"/>
      <c r="AH44" s="183"/>
      <c r="AI44" s="183"/>
    </row>
    <row r="45" spans="2:35">
      <c r="B45" s="181" t="s">
        <v>465</v>
      </c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>
        <f>'Master old'!K255</f>
        <v>261027</v>
      </c>
      <c r="O45" s="182">
        <f>'Master old'!L255</f>
        <v>290741</v>
      </c>
      <c r="P45" s="182">
        <f>'Master old'!M255</f>
        <v>358426</v>
      </c>
      <c r="Q45" s="182">
        <f>'Master old'!N255</f>
        <v>380925</v>
      </c>
      <c r="R45" s="182">
        <f>'Master old'!O255</f>
        <v>366125.52045454551</v>
      </c>
      <c r="S45" s="182">
        <f>'Master old'!P255</f>
        <v>513920</v>
      </c>
      <c r="T45" s="182">
        <f>'Master old'!Q255</f>
        <v>433263</v>
      </c>
      <c r="U45" s="182">
        <f>'Master old'!R255</f>
        <v>360499</v>
      </c>
      <c r="V45" s="182">
        <f>'Master old'!S255</f>
        <v>387011</v>
      </c>
      <c r="W45" s="182">
        <f>'Master old'!T255</f>
        <v>432021</v>
      </c>
      <c r="X45" s="182">
        <f ca="1">'Master old'!U255</f>
        <v>422172.96256803966</v>
      </c>
      <c r="Y45" s="182">
        <f ca="1">'Master old'!V255</f>
        <v>433331.03481969854</v>
      </c>
      <c r="Z45" s="182">
        <f ca="1">'Master old'!W255</f>
        <v>428239.56020565785</v>
      </c>
      <c r="AA45" s="182">
        <f ca="1">'Master old'!X255</f>
        <v>428106.1313799083</v>
      </c>
      <c r="AB45" s="182">
        <f ca="1">'Master old'!Y255</f>
        <v>411706.65094683995</v>
      </c>
      <c r="AC45" s="182">
        <f ca="1">'Master old'!Z255</f>
        <v>411279.29463229945</v>
      </c>
      <c r="AD45" s="182">
        <f ca="1">'Master old'!AA255</f>
        <v>406438.38665577618</v>
      </c>
      <c r="AE45" s="182">
        <f ca="1">'Master old'!AB255</f>
        <v>412020.97199271433</v>
      </c>
      <c r="AF45" s="183"/>
      <c r="AG45" s="183"/>
      <c r="AH45" s="183"/>
      <c r="AI45" s="183"/>
    </row>
    <row r="46" spans="2:35">
      <c r="B46" s="181" t="s">
        <v>466</v>
      </c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>
        <f>M45+N45</f>
        <v>261027</v>
      </c>
      <c r="O46" s="182">
        <f>N45+O45</f>
        <v>551768</v>
      </c>
      <c r="P46" s="182">
        <f t="shared" ref="P46:Z46" si="28">O45+P45</f>
        <v>649167</v>
      </c>
      <c r="Q46" s="182">
        <f t="shared" si="28"/>
        <v>739351</v>
      </c>
      <c r="R46" s="182">
        <f t="shared" si="28"/>
        <v>747050.52045454551</v>
      </c>
      <c r="S46" s="182">
        <f t="shared" si="28"/>
        <v>880045.52045454551</v>
      </c>
      <c r="T46" s="182">
        <f t="shared" si="28"/>
        <v>947183</v>
      </c>
      <c r="U46" s="182">
        <f t="shared" si="28"/>
        <v>793762</v>
      </c>
      <c r="V46" s="182">
        <f t="shared" si="28"/>
        <v>747510</v>
      </c>
      <c r="W46" s="182">
        <f t="shared" si="28"/>
        <v>819032</v>
      </c>
      <c r="X46" s="182">
        <f t="shared" ca="1" si="28"/>
        <v>854193.96256803966</v>
      </c>
      <c r="Y46" s="182">
        <f t="shared" ca="1" si="28"/>
        <v>855503.9973877382</v>
      </c>
      <c r="Z46" s="182">
        <f t="shared" ca="1" si="28"/>
        <v>861570.59502535639</v>
      </c>
      <c r="AA46" s="182">
        <f t="shared" ref="AA46" ca="1" si="29">Z45+AA45</f>
        <v>856345.69158556615</v>
      </c>
      <c r="AB46" s="182">
        <f t="shared" ref="AB46" ca="1" si="30">AA45+AB45</f>
        <v>839812.78232674825</v>
      </c>
      <c r="AC46" s="182">
        <f t="shared" ref="AC46" ca="1" si="31">AB45+AC45</f>
        <v>822985.9455791394</v>
      </c>
      <c r="AD46" s="182">
        <f t="shared" ref="AD46:AE46" ca="1" si="32">AC45+AD45</f>
        <v>817717.68128807563</v>
      </c>
      <c r="AE46" s="182">
        <f t="shared" ca="1" si="32"/>
        <v>818459.35864849051</v>
      </c>
      <c r="AF46" s="183"/>
      <c r="AG46" s="183"/>
      <c r="AH46" s="183"/>
      <c r="AI46" s="183"/>
    </row>
    <row r="47" spans="2:35">
      <c r="B47" s="181" t="s">
        <v>467</v>
      </c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>
        <f t="shared" ref="N47:X47" si="33">N46</f>
        <v>261027</v>
      </c>
      <c r="O47" s="182">
        <f t="shared" si="33"/>
        <v>551768</v>
      </c>
      <c r="P47" s="182">
        <f t="shared" si="33"/>
        <v>649167</v>
      </c>
      <c r="Q47" s="182">
        <f t="shared" si="33"/>
        <v>739351</v>
      </c>
      <c r="R47" s="182">
        <f t="shared" si="33"/>
        <v>747050.52045454551</v>
      </c>
      <c r="S47" s="182">
        <f t="shared" si="33"/>
        <v>880045.52045454551</v>
      </c>
      <c r="T47" s="182">
        <f t="shared" si="33"/>
        <v>947183</v>
      </c>
      <c r="U47" s="182">
        <f t="shared" si="33"/>
        <v>793762</v>
      </c>
      <c r="V47" s="182">
        <f t="shared" si="33"/>
        <v>747510</v>
      </c>
      <c r="W47" s="182">
        <f t="shared" si="33"/>
        <v>819032</v>
      </c>
      <c r="X47" s="182">
        <f t="shared" ca="1" si="33"/>
        <v>854193.96256803966</v>
      </c>
      <c r="Y47" s="182">
        <f t="shared" ref="Y47:Z47" ca="1" si="34">Y46</f>
        <v>855503.9973877382</v>
      </c>
      <c r="Z47" s="182">
        <f t="shared" ca="1" si="34"/>
        <v>861570.59502535639</v>
      </c>
      <c r="AA47" s="182">
        <f t="shared" ref="AA47:AD47" ca="1" si="35">AA46</f>
        <v>856345.69158556615</v>
      </c>
      <c r="AB47" s="182">
        <f t="shared" ca="1" si="35"/>
        <v>839812.78232674825</v>
      </c>
      <c r="AC47" s="182">
        <f t="shared" ca="1" si="35"/>
        <v>822985.9455791394</v>
      </c>
      <c r="AD47" s="182">
        <f t="shared" ca="1" si="35"/>
        <v>817717.68128807563</v>
      </c>
      <c r="AE47" s="182">
        <f t="shared" ref="AE47" ca="1" si="36">AE46</f>
        <v>818459.35864849051</v>
      </c>
      <c r="AF47" s="183"/>
      <c r="AG47" s="183"/>
      <c r="AH47" s="183"/>
      <c r="AI47" s="183"/>
    </row>
    <row r="48" spans="2:35">
      <c r="B48" s="181" t="s">
        <v>468</v>
      </c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>
        <f t="shared" ref="N48:X48" si="37">N42-N44</f>
        <v>123952.37000000002</v>
      </c>
      <c r="O48" s="182">
        <f t="shared" si="37"/>
        <v>133649.71000000002</v>
      </c>
      <c r="P48" s="182">
        <f t="shared" ca="1" si="37"/>
        <v>149034.06000000003</v>
      </c>
      <c r="Q48" s="182">
        <f t="shared" si="37"/>
        <v>157935.75</v>
      </c>
      <c r="R48" s="182">
        <f t="shared" si="37"/>
        <v>146848.96374999997</v>
      </c>
      <c r="S48" s="182">
        <f t="shared" si="37"/>
        <v>165304.6</v>
      </c>
      <c r="T48" s="182">
        <f t="shared" si="37"/>
        <v>283891.8</v>
      </c>
      <c r="U48" s="182">
        <f t="shared" si="37"/>
        <v>295698.40000000002</v>
      </c>
      <c r="V48" s="182">
        <f t="shared" si="37"/>
        <v>260013.6</v>
      </c>
      <c r="W48" s="182">
        <f t="shared" si="37"/>
        <v>197897.59999999998</v>
      </c>
      <c r="X48" s="182">
        <f t="shared" si="37"/>
        <v>232416.95247085311</v>
      </c>
      <c r="Y48" s="182">
        <f t="shared" ref="Y48:Z48" si="38">Y42-Y44</f>
        <v>232440.0535591637</v>
      </c>
      <c r="Z48" s="182">
        <f t="shared" si="38"/>
        <v>235840.97920374986</v>
      </c>
      <c r="AA48" s="182">
        <f t="shared" ref="AA48:AD48" si="39">AA42-AA44</f>
        <v>240437.71076353855</v>
      </c>
      <c r="AB48" s="182">
        <f t="shared" si="39"/>
        <v>263552.79658304784</v>
      </c>
      <c r="AC48" s="182">
        <f t="shared" si="39"/>
        <v>268072.31735112856</v>
      </c>
      <c r="AD48" s="182">
        <f t="shared" si="39"/>
        <v>273521.2420620381</v>
      </c>
      <c r="AE48" s="182">
        <f t="shared" ref="AE48" si="40">AE42-AE44</f>
        <v>279805.85935011768</v>
      </c>
      <c r="AF48" s="183"/>
      <c r="AG48" s="183"/>
      <c r="AH48" s="183"/>
      <c r="AI48" s="183"/>
    </row>
    <row r="49" spans="2:35">
      <c r="B49" s="181" t="s">
        <v>469</v>
      </c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>
        <f t="shared" ref="N49:X49" si="41">N43-N45</f>
        <v>140331</v>
      </c>
      <c r="O49" s="182">
        <f t="shared" si="41"/>
        <v>155688</v>
      </c>
      <c r="P49" s="182">
        <f t="shared" si="41"/>
        <v>156773</v>
      </c>
      <c r="Q49" s="182">
        <f t="shared" si="41"/>
        <v>161700</v>
      </c>
      <c r="R49" s="182">
        <f t="shared" si="41"/>
        <v>95812.479545454495</v>
      </c>
      <c r="S49" s="182">
        <f t="shared" si="41"/>
        <v>-147770</v>
      </c>
      <c r="T49" s="182">
        <f t="shared" si="41"/>
        <v>-68477</v>
      </c>
      <c r="U49" s="182">
        <f t="shared" si="41"/>
        <v>55782</v>
      </c>
      <c r="V49" s="182">
        <f t="shared" si="41"/>
        <v>53092</v>
      </c>
      <c r="W49" s="182">
        <f t="shared" si="41"/>
        <v>-5100</v>
      </c>
      <c r="X49" s="182">
        <f t="shared" ca="1" si="41"/>
        <v>81177.843498145754</v>
      </c>
      <c r="Y49" s="182">
        <f t="shared" ref="Y49:Z49" ca="1" si="42">Y43-Y45</f>
        <v>116257.38911945885</v>
      </c>
      <c r="Z49" s="182">
        <f t="shared" ca="1" si="42"/>
        <v>170974.53433095035</v>
      </c>
      <c r="AA49" s="182">
        <f t="shared" ref="AA49:AD49" ca="1" si="43">AA43-AA45</f>
        <v>212179.60336482478</v>
      </c>
      <c r="AB49" s="182">
        <f t="shared" ca="1" si="43"/>
        <v>275735.49362281361</v>
      </c>
      <c r="AC49" s="182">
        <f t="shared" ca="1" si="43"/>
        <v>320393.08426332497</v>
      </c>
      <c r="AD49" s="182">
        <f t="shared" ca="1" si="43"/>
        <v>371405.74579653842</v>
      </c>
      <c r="AE49" s="182">
        <f t="shared" ref="AE49" ca="1" si="44">AE43-AE45</f>
        <v>413414.21653858037</v>
      </c>
      <c r="AF49" s="183"/>
      <c r="AG49" s="183"/>
      <c r="AH49" s="183"/>
      <c r="AI49" s="183"/>
    </row>
    <row r="50" spans="2:35">
      <c r="B50" s="181" t="s">
        <v>470</v>
      </c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>
        <f>N48*(1-'Master old'!K299)</f>
        <v>104061.01455474796</v>
      </c>
      <c r="O50" s="182">
        <f>O48*(1-'Master old'!L299)</f>
        <v>117184.63549267278</v>
      </c>
      <c r="P50" s="182">
        <f ca="1">P48*(1-'Master old'!M299)</f>
        <v>122832.3002823182</v>
      </c>
      <c r="Q50" s="182">
        <f>Q48*(1-'Master old'!N299)</f>
        <v>133015.68376578263</v>
      </c>
      <c r="R50" s="182">
        <f>R48*(1-'Master old'!O299)</f>
        <v>117479.17099999997</v>
      </c>
      <c r="S50" s="182">
        <f>S48*(1-'Master old'!P299)</f>
        <v>120672.35800000001</v>
      </c>
      <c r="T50" s="182">
        <f>T48*(1-'Master old'!Q299)</f>
        <v>218596.68599999999</v>
      </c>
      <c r="U50" s="182">
        <f>U48*(1-'Master old'!R299)</f>
        <v>221773.80000000002</v>
      </c>
      <c r="V50" s="182">
        <f>V48*(1-'Master old'!S299)</f>
        <v>192410.06400000001</v>
      </c>
      <c r="W50" s="182">
        <f>W48*(1-'Master old'!T299)</f>
        <v>144465.24799999999</v>
      </c>
      <c r="X50" s="182">
        <f>X48*(1-'Master old'!U299)</f>
        <v>169664.37530372277</v>
      </c>
      <c r="Y50" s="182">
        <f>Y48*(1-'Master old'!V299)</f>
        <v>169681.23909818949</v>
      </c>
      <c r="Z50" s="182">
        <f>Z48*(1-'Master old'!W299)</f>
        <v>172163.91481873739</v>
      </c>
      <c r="AA50" s="182">
        <f>AA48*(1-'Master old'!X299)</f>
        <v>175519.52885738315</v>
      </c>
      <c r="AB50" s="182">
        <f>AB48*(1-'Master old'!Y299)</f>
        <v>192393.54150562492</v>
      </c>
      <c r="AC50" s="182">
        <f>AC48*(1-'Master old'!Z299)</f>
        <v>195692.79166632384</v>
      </c>
      <c r="AD50" s="182">
        <f>AD48*(1-'Master old'!AA299)</f>
        <v>199670.50670528781</v>
      </c>
      <c r="AE50" s="182">
        <f>AE48*(1-'Master old'!AB299)</f>
        <v>204258.27732558589</v>
      </c>
      <c r="AF50" s="183"/>
      <c r="AG50" s="183"/>
      <c r="AH50" s="183"/>
      <c r="AI50" s="183"/>
    </row>
    <row r="51" spans="2:35">
      <c r="B51" s="181" t="s">
        <v>471</v>
      </c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>
        <f>N49*(1-'Master old'!K299)</f>
        <v>117811.27084122985</v>
      </c>
      <c r="O51" s="182">
        <f>O49*(1-'Master old'!L299)</f>
        <v>136507.90211653462</v>
      </c>
      <c r="P51" s="182">
        <f>P49*(1-'Master old'!M299)</f>
        <v>129210.65300213837</v>
      </c>
      <c r="Q51" s="182">
        <f>Q49*(1-'Master old'!N299)</f>
        <v>136185.98743430193</v>
      </c>
      <c r="R51" s="182">
        <f>R49*(1-'Master old'!O299)</f>
        <v>76649.983636363599</v>
      </c>
      <c r="S51" s="182">
        <f>S49*(1-'Master old'!P299)</f>
        <v>-107872.09999999999</v>
      </c>
      <c r="T51" s="182">
        <f>T49*(1-'Master old'!Q299)</f>
        <v>-52727.29</v>
      </c>
      <c r="U51" s="182">
        <f>U49*(1-'Master old'!R299)</f>
        <v>41836.5</v>
      </c>
      <c r="V51" s="182">
        <f>V49*(1-'Master old'!S299)</f>
        <v>39288.080000000002</v>
      </c>
      <c r="W51" s="182">
        <f>W49*(1-'Master old'!T299)</f>
        <v>-3723</v>
      </c>
      <c r="X51" s="182">
        <f ca="1">X49*(1-'Master old'!U299)</f>
        <v>59259.825753646401</v>
      </c>
      <c r="Y51" s="182">
        <f ca="1">Y49*(1-'Master old'!V299)</f>
        <v>84867.894057204961</v>
      </c>
      <c r="Z51" s="182">
        <f ca="1">Z49*(1-'Master old'!W299)</f>
        <v>124811.41006159375</v>
      </c>
      <c r="AA51" s="182">
        <f ca="1">AA49*(1-'Master old'!X299)</f>
        <v>154891.11045632209</v>
      </c>
      <c r="AB51" s="182">
        <f ca="1">AB49*(1-'Master old'!Y299)</f>
        <v>201286.91034465394</v>
      </c>
      <c r="AC51" s="182">
        <f ca="1">AC49*(1-'Master old'!Z299)</f>
        <v>233886.95151222721</v>
      </c>
      <c r="AD51" s="182">
        <f ca="1">AD49*(1-'Master old'!AA299)</f>
        <v>271126.19443147304</v>
      </c>
      <c r="AE51" s="182">
        <f ca="1">AE49*(1-'Master old'!AB299)</f>
        <v>301792.37807316368</v>
      </c>
      <c r="AF51" s="183"/>
      <c r="AG51" s="183"/>
      <c r="AH51" s="183"/>
      <c r="AI51" s="183"/>
    </row>
    <row r="52" spans="2:35">
      <c r="B52" s="181" t="s">
        <v>472</v>
      </c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>
        <f>'Master old'!L50</f>
        <v>9269.6577540106937</v>
      </c>
      <c r="O52" s="182">
        <f>'Master old'!M50</f>
        <v>8996.2957435376993</v>
      </c>
      <c r="P52" s="182">
        <f>'Master old'!N50</f>
        <v>8996.812950386231</v>
      </c>
      <c r="Q52" s="182">
        <f>'Master old'!O50</f>
        <v>9138.9505721938149</v>
      </c>
      <c r="R52" s="182">
        <f>'Master old'!P50</f>
        <v>8423.3044759399945</v>
      </c>
      <c r="S52" s="182">
        <f>'Master old'!Q50</f>
        <v>8705.6762894922776</v>
      </c>
      <c r="T52" s="182">
        <f>'Master old'!R50</f>
        <v>8534.3832769830951</v>
      </c>
      <c r="U52" s="182">
        <f>'Master old'!S50</f>
        <v>9676.6516800821137</v>
      </c>
      <c r="V52" s="182">
        <f>'Master old'!T50</f>
        <v>9303.7753053623273</v>
      </c>
      <c r="W52" s="182">
        <f>'Master old'!U50</f>
        <v>8918.5329145287214</v>
      </c>
      <c r="X52" s="182">
        <f>'Master old'!V50</f>
        <v>9026.3811634494923</v>
      </c>
      <c r="Y52" s="182">
        <f>'Master old'!W50</f>
        <v>9189.9962567395141</v>
      </c>
      <c r="Z52" s="182">
        <f>'Master old'!X50</f>
        <v>9406.942480875894</v>
      </c>
      <c r="AA52" s="182">
        <f>'Master old'!Y50</f>
        <v>9675.3189011027425</v>
      </c>
      <c r="AB52" s="182">
        <f>'Master old'!Z50</f>
        <v>9993.711161567473</v>
      </c>
      <c r="AC52" s="182">
        <f>'Master old'!AA50</f>
        <v>10361.14986375672</v>
      </c>
      <c r="AD52" s="182">
        <f>'Master old'!AB50</f>
        <v>10777.074800658716</v>
      </c>
      <c r="AE52" s="182">
        <f>'Master old'!AC50</f>
        <v>0</v>
      </c>
      <c r="AF52" s="183"/>
      <c r="AG52" s="183"/>
      <c r="AH52" s="183"/>
      <c r="AI52" s="183"/>
    </row>
    <row r="53" spans="2:35">
      <c r="B53" s="181" t="s">
        <v>473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3"/>
      <c r="AB53" s="183"/>
      <c r="AC53" s="183"/>
      <c r="AD53" s="183"/>
      <c r="AE53" s="183"/>
      <c r="AF53" s="183"/>
      <c r="AG53" s="183"/>
      <c r="AH53" s="183"/>
      <c r="AI53" s="183"/>
    </row>
    <row r="54" spans="2:35">
      <c r="B54" s="181" t="s">
        <v>454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3"/>
      <c r="AB54" s="183"/>
      <c r="AC54" s="183"/>
      <c r="AD54" s="183"/>
      <c r="AE54" s="183"/>
      <c r="AF54" s="183"/>
      <c r="AG54" s="183"/>
      <c r="AH54" s="183"/>
      <c r="AI54" s="183"/>
    </row>
    <row r="55" spans="2:35">
      <c r="B55" s="181" t="s">
        <v>453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3"/>
      <c r="AB55" s="183"/>
      <c r="AC55" s="183"/>
      <c r="AD55" s="183"/>
      <c r="AE55" s="183"/>
      <c r="AF55" s="183"/>
      <c r="AG55" s="183"/>
      <c r="AH55" s="183"/>
      <c r="AI55" s="183"/>
    </row>
    <row r="57" spans="2:35">
      <c r="B57" s="180" t="s">
        <v>474</v>
      </c>
      <c r="C57" s="180">
        <v>1998</v>
      </c>
      <c r="D57" s="180">
        <v>1999</v>
      </c>
      <c r="E57" s="180">
        <v>2000</v>
      </c>
      <c r="F57" s="180">
        <v>2001</v>
      </c>
      <c r="G57" s="180">
        <v>2002</v>
      </c>
      <c r="H57" s="180">
        <v>2003</v>
      </c>
      <c r="I57" s="180">
        <v>2004</v>
      </c>
      <c r="J57" s="180">
        <v>2005</v>
      </c>
      <c r="K57" s="180">
        <v>2006</v>
      </c>
      <c r="L57" s="180">
        <v>2007</v>
      </c>
      <c r="M57" s="180">
        <v>2008</v>
      </c>
      <c r="N57" s="180">
        <v>2009</v>
      </c>
      <c r="O57" s="180">
        <v>2010</v>
      </c>
      <c r="P57" s="180">
        <v>2011</v>
      </c>
      <c r="Q57" s="180">
        <v>2012</v>
      </c>
      <c r="R57" s="180">
        <v>2013</v>
      </c>
      <c r="S57" s="180">
        <v>2014</v>
      </c>
      <c r="T57" s="180">
        <v>2015</v>
      </c>
      <c r="U57" s="180">
        <v>2016</v>
      </c>
      <c r="V57" s="180">
        <v>2017</v>
      </c>
      <c r="W57" s="180">
        <v>2018</v>
      </c>
      <c r="X57" s="180">
        <f>X35</f>
        <v>2019</v>
      </c>
      <c r="Y57" s="180">
        <f>Y35</f>
        <v>2020</v>
      </c>
      <c r="Z57" s="180">
        <f>Z35</f>
        <v>2021</v>
      </c>
      <c r="AA57" s="180">
        <v>2022</v>
      </c>
      <c r="AB57" s="180">
        <v>2023</v>
      </c>
      <c r="AC57" s="180">
        <v>2024</v>
      </c>
      <c r="AD57" s="180">
        <v>2025</v>
      </c>
      <c r="AE57" s="180">
        <v>2026</v>
      </c>
      <c r="AF57" s="180">
        <v>2027</v>
      </c>
      <c r="AG57" s="180">
        <v>2028</v>
      </c>
      <c r="AH57" s="180">
        <v>2029</v>
      </c>
      <c r="AI57" s="180">
        <v>2030</v>
      </c>
    </row>
    <row r="58" spans="2:35">
      <c r="B58" s="181" t="s">
        <v>475</v>
      </c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3"/>
      <c r="AB58" s="183"/>
      <c r="AC58" s="183"/>
      <c r="AD58" s="183"/>
      <c r="AE58" s="183"/>
      <c r="AF58" s="183"/>
      <c r="AG58" s="183"/>
      <c r="AH58" s="183"/>
      <c r="AI58" s="183"/>
    </row>
    <row r="59" spans="2:35">
      <c r="B59" s="189" t="s">
        <v>476</v>
      </c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3"/>
      <c r="AB59" s="183"/>
      <c r="AC59" s="183"/>
      <c r="AD59" s="183"/>
      <c r="AE59" s="183"/>
      <c r="AF59" s="183"/>
      <c r="AG59" s="183"/>
      <c r="AH59" s="183"/>
      <c r="AI59" s="183"/>
    </row>
    <row r="60" spans="2:35">
      <c r="B60" s="181" t="s">
        <v>444</v>
      </c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3"/>
      <c r="AB60" s="183"/>
      <c r="AC60" s="183"/>
      <c r="AD60" s="183"/>
      <c r="AE60" s="183"/>
      <c r="AF60" s="183"/>
      <c r="AG60" s="183"/>
      <c r="AH60" s="183"/>
      <c r="AI60" s="183"/>
    </row>
    <row r="61" spans="2:35">
      <c r="B61" s="181" t="s">
        <v>4</v>
      </c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3"/>
      <c r="AB61" s="183"/>
      <c r="AC61" s="183"/>
      <c r="AD61" s="183"/>
      <c r="AE61" s="183"/>
      <c r="AF61" s="183"/>
      <c r="AG61" s="183"/>
      <c r="AH61" s="183"/>
      <c r="AI61" s="183"/>
    </row>
    <row r="62" spans="2:35">
      <c r="B62" s="181" t="s">
        <v>137</v>
      </c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3"/>
      <c r="AB62" s="183"/>
      <c r="AC62" s="183"/>
      <c r="AD62" s="183"/>
      <c r="AE62" s="183"/>
      <c r="AF62" s="183"/>
      <c r="AG62" s="183"/>
      <c r="AH62" s="183"/>
      <c r="AI62" s="183"/>
    </row>
    <row r="63" spans="2:35">
      <c r="B63" s="181" t="s">
        <v>177</v>
      </c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83"/>
      <c r="AB63" s="183"/>
      <c r="AC63" s="183"/>
      <c r="AD63" s="183"/>
      <c r="AE63" s="183"/>
      <c r="AF63" s="183"/>
      <c r="AG63" s="183"/>
      <c r="AH63" s="183"/>
      <c r="AI63" s="183"/>
    </row>
    <row r="64" spans="2:35">
      <c r="B64" s="181" t="s">
        <v>125</v>
      </c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3"/>
      <c r="AB64" s="183"/>
      <c r="AC64" s="183"/>
      <c r="AD64" s="183"/>
      <c r="AE64" s="183"/>
      <c r="AF64" s="183"/>
      <c r="AG64" s="183"/>
      <c r="AH64" s="183"/>
      <c r="AI64" s="183"/>
    </row>
    <row r="65" spans="2:35">
      <c r="B65" s="181" t="s">
        <v>445</v>
      </c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3"/>
      <c r="AB65" s="183"/>
      <c r="AC65" s="183"/>
      <c r="AD65" s="183"/>
      <c r="AE65" s="183"/>
      <c r="AF65" s="183"/>
      <c r="AG65" s="183"/>
      <c r="AH65" s="183"/>
      <c r="AI65" s="183"/>
    </row>
    <row r="66" spans="2:35">
      <c r="B66" s="181" t="s">
        <v>453</v>
      </c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3"/>
      <c r="AB66" s="183"/>
      <c r="AC66" s="183"/>
      <c r="AD66" s="183"/>
      <c r="AE66" s="183"/>
      <c r="AF66" s="183"/>
      <c r="AG66" s="183"/>
      <c r="AH66" s="183"/>
      <c r="AI66" s="183"/>
    </row>
    <row r="67" spans="2:35">
      <c r="B67" s="181" t="s">
        <v>454</v>
      </c>
      <c r="C67" s="183"/>
      <c r="D67" s="183"/>
      <c r="E67" s="182"/>
      <c r="F67" s="182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83"/>
      <c r="AB67" s="183"/>
      <c r="AC67" s="183"/>
      <c r="AD67" s="183"/>
      <c r="AE67" s="183"/>
      <c r="AF67" s="183"/>
      <c r="AG67" s="183"/>
      <c r="AH67" s="183"/>
      <c r="AI67" s="183"/>
    </row>
    <row r="68" spans="2:35">
      <c r="B68" s="120" t="s">
        <v>477</v>
      </c>
      <c r="C68" s="183"/>
      <c r="D68" s="183"/>
      <c r="E68" s="182"/>
      <c r="F68" s="182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83"/>
      <c r="AB68" s="183"/>
      <c r="AC68" s="183"/>
      <c r="AD68" s="183"/>
      <c r="AE68" s="183"/>
      <c r="AF68" s="183"/>
      <c r="AG68" s="183"/>
      <c r="AH68" s="183"/>
      <c r="AI68" s="183"/>
    </row>
    <row r="69" spans="2:35">
      <c r="C69" s="183"/>
      <c r="D69" s="183"/>
      <c r="E69" s="182"/>
      <c r="F69" s="182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83"/>
      <c r="AB69" s="183"/>
      <c r="AC69" s="183"/>
      <c r="AD69" s="183"/>
      <c r="AE69" s="183"/>
      <c r="AF69" s="183"/>
      <c r="AG69" s="183"/>
      <c r="AH69" s="183"/>
      <c r="AI69" s="183"/>
    </row>
    <row r="70" spans="2:35"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</row>
    <row r="71" spans="2:35">
      <c r="B71" s="180" t="s">
        <v>478</v>
      </c>
      <c r="C71" s="180">
        <v>1998</v>
      </c>
      <c r="D71" s="180">
        <v>1999</v>
      </c>
      <c r="E71" s="180">
        <v>2000</v>
      </c>
      <c r="F71" s="180">
        <v>2001</v>
      </c>
      <c r="G71" s="180">
        <v>2002</v>
      </c>
      <c r="H71" s="180">
        <v>2003</v>
      </c>
      <c r="I71" s="180">
        <v>2004</v>
      </c>
      <c r="J71" s="180">
        <v>2005</v>
      </c>
      <c r="K71" s="180">
        <v>2006</v>
      </c>
      <c r="L71" s="180">
        <v>2007</v>
      </c>
      <c r="M71" s="180">
        <v>2008</v>
      </c>
      <c r="N71" s="180">
        <v>2009</v>
      </c>
      <c r="O71" s="180">
        <v>2010</v>
      </c>
      <c r="P71" s="180">
        <v>2011</v>
      </c>
      <c r="Q71" s="180">
        <v>2012</v>
      </c>
      <c r="R71" s="180">
        <v>2013</v>
      </c>
      <c r="S71" s="180">
        <v>2014</v>
      </c>
      <c r="T71" s="180">
        <v>2015</v>
      </c>
      <c r="U71" s="180">
        <v>2016</v>
      </c>
      <c r="V71" s="180">
        <v>2017</v>
      </c>
      <c r="W71" s="180">
        <v>2018</v>
      </c>
      <c r="X71" s="180">
        <f>X57</f>
        <v>2019</v>
      </c>
      <c r="Y71" s="180">
        <f>Y57</f>
        <v>2020</v>
      </c>
      <c r="Z71" s="180">
        <f>Z57</f>
        <v>2021</v>
      </c>
      <c r="AA71" s="180">
        <v>2022</v>
      </c>
      <c r="AB71" s="180">
        <v>2023</v>
      </c>
      <c r="AC71" s="180">
        <v>2024</v>
      </c>
      <c r="AD71" s="180">
        <v>2025</v>
      </c>
      <c r="AE71" s="180">
        <v>2026</v>
      </c>
      <c r="AF71" s="180">
        <v>2027</v>
      </c>
      <c r="AG71" s="180">
        <v>2028</v>
      </c>
      <c r="AH71" s="180">
        <v>2029</v>
      </c>
      <c r="AI71" s="180">
        <v>2030</v>
      </c>
    </row>
    <row r="72" spans="2:35">
      <c r="B72" s="192" t="s">
        <v>479</v>
      </c>
      <c r="C72" s="183"/>
      <c r="D72" s="183"/>
      <c r="E72" s="183"/>
      <c r="F72" s="183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</row>
    <row r="73" spans="2:35">
      <c r="B73" s="192" t="s">
        <v>480</v>
      </c>
      <c r="C73" s="183"/>
      <c r="D73" s="183"/>
      <c r="E73" s="183"/>
      <c r="F73" s="183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</row>
    <row r="74" spans="2:35">
      <c r="B74" s="192" t="s">
        <v>481</v>
      </c>
      <c r="C74" s="183"/>
      <c r="D74" s="183"/>
      <c r="E74" s="183"/>
      <c r="F74" s="183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</row>
    <row r="75" spans="2:35">
      <c r="B75" s="192" t="s">
        <v>482</v>
      </c>
      <c r="C75" s="183"/>
      <c r="D75" s="183"/>
      <c r="E75" s="183"/>
      <c r="F75" s="183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</row>
    <row r="76" spans="2:35">
      <c r="B76" s="192" t="s">
        <v>483</v>
      </c>
      <c r="C76" s="183"/>
      <c r="D76" s="183"/>
      <c r="E76" s="183"/>
      <c r="F76" s="183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</row>
    <row r="77" spans="2:35">
      <c r="B77" s="192" t="s">
        <v>484</v>
      </c>
      <c r="C77" s="183"/>
      <c r="D77" s="183"/>
      <c r="E77" s="183"/>
      <c r="F77" s="183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</row>
    <row r="78" spans="2:35">
      <c r="B78" s="192" t="s">
        <v>485</v>
      </c>
      <c r="C78" s="183"/>
      <c r="D78" s="183"/>
      <c r="E78" s="183"/>
      <c r="F78" s="183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</row>
    <row r="79" spans="2:35">
      <c r="B79" s="192" t="s">
        <v>486</v>
      </c>
      <c r="C79" s="183"/>
      <c r="D79" s="183"/>
      <c r="E79" s="183"/>
      <c r="F79" s="183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</row>
    <row r="80" spans="2:35">
      <c r="B80" s="192" t="s">
        <v>487</v>
      </c>
      <c r="C80" s="183"/>
      <c r="D80" s="183"/>
      <c r="E80" s="183"/>
      <c r="F80" s="183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</row>
    <row r="81" spans="2:35">
      <c r="B81" s="192" t="s">
        <v>488</v>
      </c>
      <c r="C81" s="183"/>
      <c r="D81" s="183"/>
      <c r="E81" s="183"/>
      <c r="F81" s="183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</row>
    <row r="82" spans="2:35">
      <c r="B82" s="192" t="s">
        <v>489</v>
      </c>
      <c r="C82" s="183"/>
      <c r="D82" s="183"/>
      <c r="E82" s="183"/>
      <c r="F82" s="183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</row>
    <row r="83" spans="2:35">
      <c r="B83" s="192" t="s">
        <v>490</v>
      </c>
      <c r="C83" s="183"/>
      <c r="D83" s="183"/>
      <c r="E83" s="183"/>
      <c r="F83" s="183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</row>
    <row r="84" spans="2:35">
      <c r="B84" s="192" t="s">
        <v>491</v>
      </c>
      <c r="C84" s="183"/>
      <c r="D84" s="183"/>
      <c r="E84" s="183"/>
      <c r="F84" s="183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</row>
    <row r="85" spans="2:35">
      <c r="B85" s="192" t="s">
        <v>181</v>
      </c>
      <c r="C85" s="183"/>
      <c r="D85" s="183"/>
      <c r="E85" s="183"/>
      <c r="F85" s="183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</row>
    <row r="86" spans="2:35">
      <c r="B86" s="192" t="s">
        <v>492</v>
      </c>
      <c r="C86" s="183"/>
      <c r="D86" s="183"/>
      <c r="E86" s="183"/>
      <c r="F86" s="183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</row>
    <row r="87" spans="2:35">
      <c r="B87" s="192" t="s">
        <v>493</v>
      </c>
      <c r="C87" s="183"/>
      <c r="D87" s="183"/>
      <c r="E87" s="183"/>
      <c r="F87" s="183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</row>
    <row r="88" spans="2:35">
      <c r="B88" s="192" t="s">
        <v>4</v>
      </c>
      <c r="C88" s="183"/>
      <c r="D88" s="183"/>
      <c r="E88" s="183"/>
      <c r="F88" s="183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</row>
    <row r="89" spans="2:35">
      <c r="B89" s="192" t="s">
        <v>494</v>
      </c>
      <c r="C89" s="183"/>
      <c r="D89" s="183"/>
      <c r="E89" s="183"/>
      <c r="F89" s="183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</row>
    <row r="90" spans="2:35">
      <c r="B90" s="192" t="s">
        <v>495</v>
      </c>
      <c r="C90" s="183"/>
      <c r="D90" s="183"/>
      <c r="E90" s="183"/>
      <c r="F90" s="183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</row>
    <row r="91" spans="2:35">
      <c r="B91" s="192" t="s">
        <v>496</v>
      </c>
      <c r="C91" s="183"/>
      <c r="D91" s="183"/>
      <c r="E91" s="183"/>
      <c r="F91" s="183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</row>
    <row r="92" spans="2:35">
      <c r="B92" s="192" t="s">
        <v>497</v>
      </c>
      <c r="C92" s="183"/>
      <c r="D92" s="183"/>
      <c r="E92" s="183"/>
      <c r="F92" s="183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</row>
    <row r="93" spans="2:35">
      <c r="B93" s="192" t="s">
        <v>498</v>
      </c>
      <c r="C93" s="183"/>
      <c r="D93" s="183"/>
      <c r="E93" s="183"/>
      <c r="F93" s="183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</row>
    <row r="94" spans="2:35">
      <c r="B94" s="192" t="s">
        <v>499</v>
      </c>
      <c r="C94" s="183"/>
      <c r="D94" s="183"/>
      <c r="E94" s="183"/>
      <c r="F94" s="183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</row>
    <row r="95" spans="2:35">
      <c r="B95" s="192" t="s">
        <v>500</v>
      </c>
      <c r="C95" s="183"/>
      <c r="D95" s="183"/>
      <c r="E95" s="183"/>
      <c r="F95" s="183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</row>
    <row r="96" spans="2:35">
      <c r="B96" s="192" t="s">
        <v>501</v>
      </c>
      <c r="C96" s="183"/>
      <c r="D96" s="183"/>
      <c r="E96" s="183"/>
      <c r="F96" s="183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</row>
    <row r="97" spans="2:35">
      <c r="B97" s="192" t="s">
        <v>239</v>
      </c>
      <c r="C97" s="183"/>
      <c r="D97" s="183"/>
      <c r="E97" s="183"/>
      <c r="F97" s="183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</row>
    <row r="98" spans="2:35">
      <c r="B98" s="192" t="s">
        <v>502</v>
      </c>
      <c r="C98" s="183"/>
      <c r="D98" s="183"/>
      <c r="E98" s="183"/>
      <c r="F98" s="183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</row>
    <row r="99" spans="2:35">
      <c r="B99" s="192" t="s">
        <v>503</v>
      </c>
      <c r="C99" s="183"/>
      <c r="D99" s="183"/>
      <c r="E99" s="183"/>
      <c r="F99" s="183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</row>
    <row r="100" spans="2:35">
      <c r="B100" s="192" t="s">
        <v>504</v>
      </c>
      <c r="C100" s="183"/>
      <c r="D100" s="183"/>
      <c r="E100" s="183"/>
      <c r="F100" s="183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</row>
    <row r="101" spans="2:35">
      <c r="B101" s="192" t="s">
        <v>505</v>
      </c>
      <c r="C101" s="183"/>
      <c r="D101" s="183"/>
      <c r="E101" s="183"/>
      <c r="F101" s="183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</row>
    <row r="102" spans="2:35">
      <c r="B102" s="192" t="s">
        <v>506</v>
      </c>
      <c r="C102" s="183"/>
      <c r="D102" s="183"/>
      <c r="E102" s="183"/>
      <c r="F102" s="183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</row>
    <row r="103" spans="2:35">
      <c r="B103" s="192" t="s">
        <v>507</v>
      </c>
      <c r="C103" s="183"/>
      <c r="D103" s="183"/>
      <c r="E103" s="183"/>
      <c r="F103" s="183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</row>
    <row r="104" spans="2:35">
      <c r="B104" s="192" t="s">
        <v>508</v>
      </c>
      <c r="C104" s="183"/>
      <c r="D104" s="183"/>
      <c r="E104" s="183"/>
      <c r="F104" s="183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</row>
    <row r="105" spans="2:35">
      <c r="B105" s="192" t="s">
        <v>509</v>
      </c>
      <c r="C105" s="183"/>
      <c r="D105" s="183"/>
      <c r="E105" s="183"/>
      <c r="F105" s="183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</row>
    <row r="106" spans="2:35">
      <c r="B106" s="192" t="s">
        <v>68</v>
      </c>
      <c r="C106" s="183"/>
      <c r="D106" s="183"/>
      <c r="E106" s="183"/>
      <c r="F106" s="183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</row>
    <row r="108" spans="2:35">
      <c r="B108" s="180" t="s">
        <v>510</v>
      </c>
      <c r="C108" s="180">
        <v>1998</v>
      </c>
      <c r="D108" s="180">
        <v>1999</v>
      </c>
      <c r="E108" s="180">
        <v>2000</v>
      </c>
      <c r="F108" s="180">
        <v>2001</v>
      </c>
      <c r="G108" s="180">
        <v>2002</v>
      </c>
      <c r="H108" s="180">
        <v>2003</v>
      </c>
      <c r="I108" s="180">
        <v>2004</v>
      </c>
      <c r="J108" s="180">
        <v>2005</v>
      </c>
      <c r="K108" s="180">
        <v>2006</v>
      </c>
      <c r="L108" s="180">
        <v>2007</v>
      </c>
      <c r="M108" s="180">
        <v>2008</v>
      </c>
      <c r="N108" s="180">
        <v>2009</v>
      </c>
      <c r="O108" s="180">
        <v>2010</v>
      </c>
      <c r="P108" s="180">
        <v>2011</v>
      </c>
      <c r="Q108" s="180">
        <v>2012</v>
      </c>
      <c r="R108" s="180">
        <v>2013</v>
      </c>
      <c r="S108" s="180">
        <v>2014</v>
      </c>
      <c r="T108" s="180">
        <v>2015</v>
      </c>
      <c r="U108" s="180">
        <v>2016</v>
      </c>
      <c r="V108" s="180">
        <v>2017</v>
      </c>
      <c r="W108" s="180">
        <v>2018</v>
      </c>
      <c r="X108" s="180">
        <f>X71</f>
        <v>2019</v>
      </c>
      <c r="Y108" s="180">
        <f>Y71</f>
        <v>2020</v>
      </c>
      <c r="Z108" s="180">
        <f>Z71</f>
        <v>2021</v>
      </c>
      <c r="AA108" s="180">
        <v>2022</v>
      </c>
      <c r="AB108" s="180">
        <v>2023</v>
      </c>
      <c r="AC108" s="180">
        <v>2024</v>
      </c>
      <c r="AD108" s="180">
        <v>2025</v>
      </c>
      <c r="AE108" s="180">
        <v>2026</v>
      </c>
      <c r="AF108" s="180">
        <v>2027</v>
      </c>
      <c r="AG108" s="180">
        <v>2028</v>
      </c>
      <c r="AH108" s="180">
        <v>2029</v>
      </c>
      <c r="AI108" s="180">
        <v>2030</v>
      </c>
    </row>
    <row r="109" spans="2:35">
      <c r="B109" s="181" t="s">
        <v>177</v>
      </c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>
        <f>'Master old'!K281</f>
        <v>213342</v>
      </c>
      <c r="O109" s="182">
        <f>'Master old'!L281</f>
        <v>246053</v>
      </c>
      <c r="P109" s="182">
        <f>'Master old'!M281</f>
        <v>269099</v>
      </c>
      <c r="Q109" s="182">
        <f>'Master old'!N281</f>
        <v>289379</v>
      </c>
      <c r="R109" s="182">
        <f>'Master old'!O281</f>
        <v>95812.479545454495</v>
      </c>
      <c r="S109" s="182">
        <f>'Master old'!P281</f>
        <v>-147770</v>
      </c>
      <c r="T109" s="182">
        <f>'Master old'!Q281</f>
        <v>-68477</v>
      </c>
      <c r="U109" s="182">
        <f>'Master old'!R281</f>
        <v>55782</v>
      </c>
      <c r="V109" s="182">
        <f>'Master old'!S281</f>
        <v>53092</v>
      </c>
      <c r="W109" s="182">
        <f>'Master old'!T281</f>
        <v>-5100</v>
      </c>
      <c r="X109" s="182">
        <f ca="1">'Master old'!U281</f>
        <v>81177.843498145754</v>
      </c>
      <c r="Y109" s="182">
        <f ca="1">'Master old'!V281</f>
        <v>116257.38911945885</v>
      </c>
      <c r="Z109" s="182">
        <f ca="1">'Master old'!W281</f>
        <v>170974.53433095035</v>
      </c>
      <c r="AA109" s="182">
        <f ca="1">'Master old'!X281</f>
        <v>212179.60336482478</v>
      </c>
      <c r="AB109" s="182">
        <f ca="1">'Master old'!Y281</f>
        <v>275735.49362281361</v>
      </c>
      <c r="AC109" s="182">
        <f ca="1">'Master old'!Z281</f>
        <v>320393.08426332497</v>
      </c>
      <c r="AD109" s="182">
        <f ca="1">'Master old'!AA281</f>
        <v>371405.74579653842</v>
      </c>
      <c r="AE109" s="182">
        <f ca="1">'Master old'!AB281</f>
        <v>413414.21653858037</v>
      </c>
      <c r="AF109" s="183"/>
      <c r="AG109" s="183"/>
      <c r="AH109" s="183"/>
      <c r="AI109" s="183"/>
    </row>
    <row r="110" spans="2:35">
      <c r="B110" s="181" t="s">
        <v>511</v>
      </c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>
        <f>-'Master old'!K293</f>
        <v>-10184</v>
      </c>
      <c r="O110" s="182">
        <f>-'Master old'!L293</f>
        <v>-8931</v>
      </c>
      <c r="P110" s="182">
        <f>-'Master old'!M293</f>
        <v>-18901</v>
      </c>
      <c r="Q110" s="182">
        <f>-'Master old'!N293</f>
        <v>-22944</v>
      </c>
      <c r="R110" s="182">
        <f>-'Master old'!O293</f>
        <v>-41420</v>
      </c>
      <c r="S110" s="182">
        <f>-'Master old'!P293</f>
        <v>-78313</v>
      </c>
      <c r="T110" s="182">
        <f>-'Master old'!Q293</f>
        <v>-94727</v>
      </c>
      <c r="U110" s="182">
        <f>-'Master old'!R293</f>
        <v>-108256</v>
      </c>
      <c r="V110" s="182">
        <f>-'Master old'!S293</f>
        <v>-91223</v>
      </c>
      <c r="W110" s="182">
        <f>-'Master old'!T293</f>
        <v>-93184</v>
      </c>
      <c r="X110" s="182">
        <f ca="1">-'Master old'!U293</f>
        <v>-100342.79454869482</v>
      </c>
      <c r="Y110" s="182">
        <f ca="1">-'Master old'!V293</f>
        <v>-102517.75059140584</v>
      </c>
      <c r="Z110" s="182">
        <f ca="1">-'Master old'!W293</f>
        <v>-103176.09397427234</v>
      </c>
      <c r="AA110" s="182">
        <f ca="1">-'Master old'!X293</f>
        <v>-101760.78073112207</v>
      </c>
      <c r="AB110" s="182">
        <f ca="1">-'Master old'!Y293</f>
        <v>-97840.086961639885</v>
      </c>
      <c r="AC110" s="182">
        <f ca="1">-'Master old'!Z293</f>
        <v>-91187.907250977165</v>
      </c>
      <c r="AD110" s="182">
        <f ca="1">-'Master old'!AA293</f>
        <v>-82029.253105760901</v>
      </c>
      <c r="AE110" s="182">
        <f ca="1">-'Master old'!AB293</f>
        <v>-76765.515932176888</v>
      </c>
      <c r="AF110" s="183"/>
      <c r="AG110" s="183"/>
      <c r="AH110" s="183"/>
      <c r="AI110" s="183"/>
    </row>
    <row r="111" spans="2:35">
      <c r="B111" s="181" t="s">
        <v>590</v>
      </c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>
        <f>-'Master old'!K298</f>
        <v>-28790</v>
      </c>
      <c r="O111" s="182">
        <f>-'Master old'!L298</f>
        <v>-24598</v>
      </c>
      <c r="P111" s="182">
        <f>-'Master old'!M298</f>
        <v>-38560</v>
      </c>
      <c r="Q111" s="182">
        <f>-'Master old'!N298</f>
        <v>-31342</v>
      </c>
      <c r="R111" s="182">
        <f>-'Master old'!O298</f>
        <v>-29952</v>
      </c>
      <c r="S111" s="182">
        <f>-'Master old'!P298</f>
        <v>8015</v>
      </c>
      <c r="T111" s="182">
        <f>-'Master old'!Q298</f>
        <v>12781</v>
      </c>
      <c r="U111" s="182">
        <f>-'Master old'!R298</f>
        <v>28018</v>
      </c>
      <c r="V111" s="182">
        <f>-'Master old'!S298</f>
        <v>17408</v>
      </c>
      <c r="W111" s="182">
        <f>-'Master old'!T298</f>
        <v>-21344</v>
      </c>
      <c r="X111" s="182">
        <f ca="1">-'Master old'!U298</f>
        <v>-22654.813973942859</v>
      </c>
      <c r="Y111" s="182">
        <f ca="1">-'Master old'!V298</f>
        <v>-28829.412167052011</v>
      </c>
      <c r="Z111" s="182">
        <f ca="1">-'Master old'!W298</f>
        <v>-39959.420032948154</v>
      </c>
      <c r="AA111" s="182">
        <f ca="1">-'Master old'!X298</f>
        <v>-49511.856715594869</v>
      </c>
      <c r="AB111" s="182">
        <f ca="1">-'Master old'!Y298</f>
        <v>-60921.04710199593</v>
      </c>
      <c r="AC111" s="182">
        <f ca="1">-'Master old'!Z298</f>
        <v>-72032.743450493843</v>
      </c>
      <c r="AD111" s="182">
        <f ca="1">-'Master old'!AA298</f>
        <v>-84104.193812094891</v>
      </c>
      <c r="AE111" s="182">
        <f ca="1">-'Master old'!AB298</f>
        <v>-95269.222345891787</v>
      </c>
      <c r="AF111" s="183"/>
      <c r="AG111" s="183"/>
      <c r="AH111" s="183"/>
      <c r="AI111" s="183"/>
    </row>
    <row r="112" spans="2:35">
      <c r="B112" s="181" t="s">
        <v>591</v>
      </c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3"/>
      <c r="AG112" s="183"/>
      <c r="AH112" s="183"/>
      <c r="AI112" s="183"/>
    </row>
    <row r="113" spans="2:35">
      <c r="B113" s="181" t="s">
        <v>589</v>
      </c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3"/>
      <c r="AG113" s="183"/>
      <c r="AH113" s="183"/>
      <c r="AI113" s="183"/>
    </row>
    <row r="114" spans="2:35">
      <c r="B114" s="181" t="s">
        <v>512</v>
      </c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>
        <f>-(N109+N110+N111+N116+N118)</f>
        <v>-69714</v>
      </c>
      <c r="O114" s="182">
        <f t="shared" ref="O114:W114" si="45">-(O109+O110+O111+O116+O118)</f>
        <v>-11724</v>
      </c>
      <c r="P114" s="182">
        <f t="shared" si="45"/>
        <v>-137861.5</v>
      </c>
      <c r="Q114" s="182">
        <f t="shared" si="45"/>
        <v>-140671.5</v>
      </c>
      <c r="R114" s="182">
        <f t="shared" si="45"/>
        <v>-362100.97954545449</v>
      </c>
      <c r="S114" s="182">
        <f t="shared" si="45"/>
        <v>119135</v>
      </c>
      <c r="T114" s="182">
        <f t="shared" si="45"/>
        <v>-155081</v>
      </c>
      <c r="U114" s="182">
        <f t="shared" si="45"/>
        <v>-81771</v>
      </c>
      <c r="V114" s="182">
        <f t="shared" si="45"/>
        <v>-43845.635624999995</v>
      </c>
      <c r="W114" s="182">
        <f t="shared" si="45"/>
        <v>-65060.640750000006</v>
      </c>
      <c r="X114" s="182">
        <f ca="1">-(X109+X110+X111+X116+X118)</f>
        <v>1.0186340659856796E-10</v>
      </c>
      <c r="Y114" s="182">
        <f ca="1">-(Y109+Y110+Y111+Y116+Y118)</f>
        <v>-1.8189894035458565E-10</v>
      </c>
      <c r="Z114" s="182">
        <f ca="1">-(Z109+Z110+Z111+Z116+Z118)</f>
        <v>3.637978807091713E-12</v>
      </c>
      <c r="AA114" s="182">
        <f t="shared" ref="AA114:AD114" ca="1" si="46">-(AA109+AA110+AA111+AA116+AA118)</f>
        <v>1.3096723705530167E-10</v>
      </c>
      <c r="AB114" s="182">
        <f t="shared" ca="1" si="46"/>
        <v>2.0372681319713593E-10</v>
      </c>
      <c r="AC114" s="182">
        <f t="shared" ca="1" si="46"/>
        <v>2.1827872842550278E-10</v>
      </c>
      <c r="AD114" s="182">
        <f t="shared" ca="1" si="46"/>
        <v>-8.7311491370201111E-11</v>
      </c>
      <c r="AE114" s="182">
        <f t="shared" ref="AE114" ca="1" si="47">-(AE109+AE110+AE111+AE116+AE118)</f>
        <v>-2.9103830456733704E-11</v>
      </c>
      <c r="AF114" s="183"/>
      <c r="AG114" s="183"/>
      <c r="AH114" s="183"/>
      <c r="AI114" s="183"/>
    </row>
    <row r="115" spans="2:35">
      <c r="B115" s="181" t="s">
        <v>592</v>
      </c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>
        <v>0</v>
      </c>
      <c r="O115" s="182">
        <v>0</v>
      </c>
      <c r="P115" s="182">
        <v>0</v>
      </c>
      <c r="Q115" s="182">
        <v>0</v>
      </c>
      <c r="R115" s="182">
        <v>0</v>
      </c>
      <c r="S115" s="182">
        <v>0</v>
      </c>
      <c r="T115" s="182">
        <v>0</v>
      </c>
      <c r="U115" s="182">
        <v>0</v>
      </c>
      <c r="V115" s="182">
        <v>0</v>
      </c>
      <c r="W115" s="182">
        <v>0</v>
      </c>
      <c r="X115" s="182">
        <v>0</v>
      </c>
      <c r="Y115" s="182">
        <v>0</v>
      </c>
      <c r="Z115" s="182">
        <v>0</v>
      </c>
      <c r="AA115" s="182">
        <v>0</v>
      </c>
      <c r="AB115" s="182">
        <v>0</v>
      </c>
      <c r="AC115" s="182">
        <v>0</v>
      </c>
      <c r="AD115" s="182">
        <v>0</v>
      </c>
      <c r="AE115" s="182">
        <v>0</v>
      </c>
      <c r="AF115" s="183"/>
      <c r="AG115" s="183"/>
      <c r="AH115" s="183"/>
      <c r="AI115" s="183"/>
    </row>
    <row r="116" spans="2:35">
      <c r="B116" s="181" t="s">
        <v>513</v>
      </c>
      <c r="C116" s="190"/>
      <c r="D116" s="190"/>
      <c r="E116" s="190"/>
      <c r="F116" s="190"/>
      <c r="G116" s="190"/>
      <c r="H116" s="190"/>
      <c r="I116" s="190"/>
      <c r="J116" s="182"/>
      <c r="K116" s="182"/>
      <c r="L116" s="182"/>
      <c r="M116" s="182"/>
      <c r="N116" s="182">
        <f>-'Master old'!K309</f>
        <v>-104654</v>
      </c>
      <c r="O116" s="182">
        <f>-'Master old'!L309</f>
        <v>-141900</v>
      </c>
      <c r="P116" s="182">
        <f>-'Master old'!M309</f>
        <v>-128892.5</v>
      </c>
      <c r="Q116" s="182">
        <f>-'Master old'!N309</f>
        <v>-131257.5</v>
      </c>
      <c r="R116" s="182">
        <f>-'Master old'!O309</f>
        <v>-88687.5</v>
      </c>
      <c r="S116" s="182">
        <f>-'Master old'!P309</f>
        <v>-54395</v>
      </c>
      <c r="T116" s="182">
        <f>-'Master old'!Q309</f>
        <v>-8041</v>
      </c>
      <c r="U116" s="182">
        <f>-'Master old'!R309</f>
        <v>0</v>
      </c>
      <c r="V116" s="182">
        <f>-'Master old'!S309</f>
        <v>-4502.3643750000001</v>
      </c>
      <c r="W116" s="182">
        <f>-'Master old'!T309</f>
        <v>-10205.35925</v>
      </c>
      <c r="X116" s="182">
        <f>-'Master old'!U309</f>
        <v>0</v>
      </c>
      <c r="Y116" s="182">
        <f>-'Master old'!V309</f>
        <v>-15007.88125</v>
      </c>
      <c r="Z116" s="182">
        <f>-'Master old'!W309</f>
        <v>-19510.245625</v>
      </c>
      <c r="AA116" s="182">
        <f>-'Master old'!X309</f>
        <v>-22436.78246875</v>
      </c>
      <c r="AB116" s="182">
        <f>-'Master old'!Y309</f>
        <v>-25802.299839062496</v>
      </c>
      <c r="AC116" s="182">
        <f>-'Master old'!Z309</f>
        <v>-28382.529822968751</v>
      </c>
      <c r="AD116" s="182">
        <f>-'Master old'!AA309</f>
        <v>-31220.782805265626</v>
      </c>
      <c r="AE116" s="182">
        <f>-'Master old'!AB309</f>
        <v>-34342.861085792196</v>
      </c>
      <c r="AF116" s="183"/>
      <c r="AG116" s="183"/>
      <c r="AH116" s="183"/>
      <c r="AI116" s="183"/>
    </row>
    <row r="117" spans="2:35">
      <c r="B117" s="181" t="s">
        <v>593</v>
      </c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>
        <v>0</v>
      </c>
      <c r="O117" s="182">
        <v>0</v>
      </c>
      <c r="P117" s="182">
        <v>0</v>
      </c>
      <c r="Q117" s="182">
        <v>0</v>
      </c>
      <c r="R117" s="182">
        <v>0</v>
      </c>
      <c r="S117" s="182">
        <v>0</v>
      </c>
      <c r="T117" s="182">
        <v>0</v>
      </c>
      <c r="U117" s="182">
        <v>0</v>
      </c>
      <c r="V117" s="182">
        <v>0</v>
      </c>
      <c r="W117" s="182">
        <v>0</v>
      </c>
      <c r="X117" s="182">
        <v>0</v>
      </c>
      <c r="Y117" s="182">
        <v>0</v>
      </c>
      <c r="Z117" s="182">
        <v>0</v>
      </c>
      <c r="AA117" s="182">
        <v>0</v>
      </c>
      <c r="AB117" s="182">
        <v>0</v>
      </c>
      <c r="AC117" s="182">
        <v>0</v>
      </c>
      <c r="AD117" s="182">
        <v>0</v>
      </c>
      <c r="AE117" s="182">
        <v>0</v>
      </c>
      <c r="AF117" s="183"/>
      <c r="AG117" s="183"/>
      <c r="AH117" s="183"/>
      <c r="AI117" s="183"/>
    </row>
    <row r="118" spans="2:35">
      <c r="B118" s="181" t="s">
        <v>378</v>
      </c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>
        <f>O119-N119</f>
        <v>-58900</v>
      </c>
      <c r="P118" s="182">
        <f t="shared" ref="P118:Z118" si="48">P119-O119</f>
        <v>55116</v>
      </c>
      <c r="Q118" s="182">
        <f t="shared" si="48"/>
        <v>36836</v>
      </c>
      <c r="R118" s="182">
        <f t="shared" si="48"/>
        <v>426348</v>
      </c>
      <c r="S118" s="182">
        <f t="shared" si="48"/>
        <v>153328</v>
      </c>
      <c r="T118" s="182">
        <f t="shared" si="48"/>
        <v>313545</v>
      </c>
      <c r="U118" s="182">
        <f t="shared" si="48"/>
        <v>106227</v>
      </c>
      <c r="V118" s="182">
        <f t="shared" si="48"/>
        <v>69071</v>
      </c>
      <c r="W118" s="182">
        <f t="shared" si="48"/>
        <v>194894</v>
      </c>
      <c r="X118" s="182">
        <f t="shared" ca="1" si="48"/>
        <v>41819.765024491819</v>
      </c>
      <c r="Y118" s="182">
        <f t="shared" ca="1" si="48"/>
        <v>30097.654888999183</v>
      </c>
      <c r="Z118" s="182">
        <f t="shared" ca="1" si="48"/>
        <v>-8328.7746987298597</v>
      </c>
      <c r="AA118" s="182">
        <f t="shared" ref="AA118" ca="1" si="49">AA119-Z119</f>
        <v>-38470.183449357981</v>
      </c>
      <c r="AB118" s="182">
        <f t="shared" ref="AB118" ca="1" si="50">AB119-AA119</f>
        <v>-91172.059720115503</v>
      </c>
      <c r="AC118" s="182">
        <f t="shared" ref="AC118" ca="1" si="51">AC119-AB119</f>
        <v>-128789.90373888542</v>
      </c>
      <c r="AD118" s="182">
        <f t="shared" ref="AD118:AE118" ca="1" si="52">AD119-AC119</f>
        <v>-174051.51607341692</v>
      </c>
      <c r="AE118" s="182">
        <f t="shared" ca="1" si="52"/>
        <v>-207036.61717471946</v>
      </c>
      <c r="AF118" s="183"/>
      <c r="AG118" s="183"/>
      <c r="AH118" s="183"/>
      <c r="AI118" s="183"/>
    </row>
    <row r="119" spans="2:35">
      <c r="B119" s="181" t="s">
        <v>181</v>
      </c>
      <c r="C119" s="183"/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2">
        <f>N7</f>
        <v>341600</v>
      </c>
      <c r="O119" s="182">
        <f t="shared" ref="O119:W119" si="53">O7</f>
        <v>282700</v>
      </c>
      <c r="P119" s="182">
        <f t="shared" si="53"/>
        <v>337816</v>
      </c>
      <c r="Q119" s="182">
        <f t="shared" si="53"/>
        <v>374652</v>
      </c>
      <c r="R119" s="182">
        <f t="shared" si="53"/>
        <v>801000</v>
      </c>
      <c r="S119" s="182">
        <f t="shared" si="53"/>
        <v>954328</v>
      </c>
      <c r="T119" s="182">
        <f t="shared" si="53"/>
        <v>1267873</v>
      </c>
      <c r="U119" s="182">
        <f t="shared" si="53"/>
        <v>1374100</v>
      </c>
      <c r="V119" s="182">
        <f t="shared" si="53"/>
        <v>1443171</v>
      </c>
      <c r="W119" s="182">
        <f t="shared" si="53"/>
        <v>1638065</v>
      </c>
      <c r="X119" s="182">
        <f ca="1">X7</f>
        <v>1679884.7650244918</v>
      </c>
      <c r="Y119" s="182">
        <f ca="1">Y7</f>
        <v>1709982.419913491</v>
      </c>
      <c r="Z119" s="182">
        <f ca="1">Z7</f>
        <v>1701653.6452147611</v>
      </c>
      <c r="AA119" s="182">
        <f t="shared" ref="AA119:AD119" ca="1" si="54">AA7</f>
        <v>1663183.4617654032</v>
      </c>
      <c r="AB119" s="182">
        <f t="shared" ca="1" si="54"/>
        <v>1572011.4020452877</v>
      </c>
      <c r="AC119" s="182">
        <f t="shared" ca="1" si="54"/>
        <v>1443221.4983064022</v>
      </c>
      <c r="AD119" s="182">
        <f t="shared" ca="1" si="54"/>
        <v>1269169.9822329853</v>
      </c>
      <c r="AE119" s="182">
        <f t="shared" ref="AE119" ca="1" si="55">AE7</f>
        <v>1062133.3650582659</v>
      </c>
      <c r="AF119" s="183"/>
      <c r="AG119" s="183"/>
      <c r="AH119" s="183"/>
      <c r="AI119" s="183"/>
    </row>
    <row r="120" spans="2:35"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3"/>
      <c r="AG120" s="183"/>
      <c r="AH120" s="183"/>
      <c r="AI120" s="183"/>
    </row>
    <row r="121" spans="2:35">
      <c r="B121" s="180" t="s">
        <v>514</v>
      </c>
      <c r="C121" s="180">
        <v>1998</v>
      </c>
      <c r="D121" s="180">
        <v>1999</v>
      </c>
      <c r="E121" s="180">
        <v>2000</v>
      </c>
      <c r="F121" s="180">
        <v>2001</v>
      </c>
      <c r="G121" s="180">
        <v>2002</v>
      </c>
      <c r="H121" s="180">
        <v>2003</v>
      </c>
      <c r="I121" s="180">
        <v>2004</v>
      </c>
      <c r="J121" s="180">
        <v>2005</v>
      </c>
      <c r="K121" s="180">
        <v>2006</v>
      </c>
      <c r="L121" s="180">
        <v>2007</v>
      </c>
      <c r="M121" s="180">
        <v>2008</v>
      </c>
      <c r="N121" s="180">
        <v>2009</v>
      </c>
      <c r="O121" s="180">
        <v>2010</v>
      </c>
      <c r="P121" s="180">
        <v>2011</v>
      </c>
      <c r="Q121" s="180">
        <v>2012</v>
      </c>
      <c r="R121" s="180">
        <v>2013</v>
      </c>
      <c r="S121" s="180">
        <v>2014</v>
      </c>
      <c r="T121" s="180">
        <v>2015</v>
      </c>
      <c r="U121" s="180">
        <v>2016</v>
      </c>
      <c r="V121" s="180">
        <v>2017</v>
      </c>
      <c r="W121" s="180">
        <v>2018</v>
      </c>
      <c r="X121" s="180">
        <f>X108</f>
        <v>2019</v>
      </c>
      <c r="Y121" s="180">
        <f>Y108</f>
        <v>2020</v>
      </c>
      <c r="Z121" s="180">
        <f>Z108</f>
        <v>2021</v>
      </c>
      <c r="AA121" s="180">
        <f t="shared" ref="AA121:AD121" si="56">AA108</f>
        <v>2022</v>
      </c>
      <c r="AB121" s="180">
        <f t="shared" si="56"/>
        <v>2023</v>
      </c>
      <c r="AC121" s="180">
        <f t="shared" si="56"/>
        <v>2024</v>
      </c>
      <c r="AD121" s="180">
        <f t="shared" si="56"/>
        <v>2025</v>
      </c>
      <c r="AE121" s="180">
        <f t="shared" ref="AE121" si="57">AE108</f>
        <v>2026</v>
      </c>
      <c r="AF121" s="180">
        <v>2027</v>
      </c>
      <c r="AG121" s="180">
        <v>2028</v>
      </c>
      <c r="AH121" s="180">
        <v>2029</v>
      </c>
      <c r="AI121" s="180">
        <v>2030</v>
      </c>
    </row>
    <row r="122" spans="2:35">
      <c r="B122" s="181" t="s">
        <v>515</v>
      </c>
      <c r="C122" s="183"/>
      <c r="D122" s="183"/>
      <c r="E122" s="183"/>
      <c r="F122" s="183"/>
      <c r="G122" s="183"/>
      <c r="H122" s="183"/>
      <c r="I122" s="183"/>
      <c r="J122" s="182"/>
      <c r="K122" s="182"/>
      <c r="L122" s="182"/>
      <c r="M122" s="182"/>
      <c r="N122" s="182">
        <f>'Master old'!K305</f>
        <v>174368</v>
      </c>
      <c r="O122" s="182">
        <f>'Master old'!L305</f>
        <v>212524</v>
      </c>
      <c r="P122" s="182">
        <f>'Master old'!M305</f>
        <v>211638</v>
      </c>
      <c r="Q122" s="182">
        <f>'Master old'!N305</f>
        <v>235093</v>
      </c>
      <c r="R122" s="182">
        <f>'Master old'!O305</f>
        <v>24440.479545454495</v>
      </c>
      <c r="S122" s="182">
        <f>'Master old'!P305</f>
        <v>-218068</v>
      </c>
      <c r="T122" s="182">
        <f>'Master old'!Q305</f>
        <v>-150423</v>
      </c>
      <c r="U122" s="182">
        <f>'Master old'!R305</f>
        <v>-24456</v>
      </c>
      <c r="V122" s="182">
        <f>'Master old'!S305</f>
        <v>-20723</v>
      </c>
      <c r="W122" s="182">
        <f>'Master old'!T305</f>
        <v>-119628</v>
      </c>
      <c r="X122" s="182">
        <f ca="1">'Master old'!U305</f>
        <v>-41819.76502449192</v>
      </c>
      <c r="Y122" s="182">
        <f ca="1">'Master old'!V305</f>
        <v>-15089.773638999002</v>
      </c>
      <c r="Z122" s="182">
        <f ca="1">'Master old'!W305</f>
        <v>27839.020323729856</v>
      </c>
      <c r="AA122" s="182">
        <f ca="1">'Master old'!X305</f>
        <v>60906.965918107846</v>
      </c>
      <c r="AB122" s="182">
        <f ca="1">'Master old'!Y305</f>
        <v>116974.3595591778</v>
      </c>
      <c r="AC122" s="182">
        <f ca="1">'Master old'!Z305</f>
        <v>157172.43356185395</v>
      </c>
      <c r="AD122" s="182">
        <f ca="1">'Master old'!AA305</f>
        <v>205272.29887868263</v>
      </c>
      <c r="AE122" s="182">
        <f ca="1">'Master old'!AB305</f>
        <v>241379.47826051168</v>
      </c>
      <c r="AF122" s="183"/>
      <c r="AG122" s="183"/>
      <c r="AH122" s="183"/>
      <c r="AI122" s="183"/>
    </row>
    <row r="123" spans="2:35">
      <c r="B123" s="181" t="s">
        <v>516</v>
      </c>
      <c r="C123" s="183"/>
      <c r="D123" s="183"/>
      <c r="E123" s="183"/>
      <c r="F123" s="183"/>
      <c r="G123" s="183"/>
      <c r="H123" s="183"/>
      <c r="I123" s="183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3"/>
      <c r="AG123" s="183"/>
      <c r="AH123" s="183"/>
      <c r="AI123" s="183"/>
    </row>
    <row r="124" spans="2:35">
      <c r="C124" s="183"/>
      <c r="D124" s="183"/>
      <c r="E124" s="183"/>
      <c r="F124" s="183"/>
      <c r="G124" s="183"/>
      <c r="H124" s="183"/>
      <c r="I124" s="183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3"/>
      <c r="AG124" s="183"/>
      <c r="AH124" s="183"/>
      <c r="AI124" s="183"/>
    </row>
    <row r="125" spans="2:35">
      <c r="C125" s="183"/>
      <c r="D125" s="183"/>
      <c r="E125" s="183"/>
      <c r="F125" s="183"/>
      <c r="G125" s="183"/>
      <c r="H125" s="183"/>
      <c r="I125" s="183"/>
      <c r="J125" s="183"/>
      <c r="K125" s="183"/>
      <c r="L125" s="183"/>
      <c r="M125" s="183"/>
      <c r="N125" s="183"/>
      <c r="O125" s="183"/>
      <c r="P125" s="183"/>
      <c r="Q125" s="183"/>
      <c r="R125" s="183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3"/>
      <c r="AG125" s="183"/>
      <c r="AH125" s="183"/>
      <c r="AI125" s="183"/>
    </row>
    <row r="126" spans="2:35">
      <c r="C126" s="183"/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3"/>
      <c r="P126" s="183"/>
      <c r="Q126" s="183"/>
      <c r="R126" s="183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3"/>
      <c r="AG126" s="183"/>
      <c r="AH126" s="183"/>
      <c r="AI126" s="183"/>
    </row>
    <row r="127" spans="2:35">
      <c r="C127" s="183"/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3"/>
      <c r="AG127" s="183"/>
      <c r="AH127" s="183"/>
      <c r="AI127" s="183"/>
    </row>
    <row r="129" spans="2:35">
      <c r="B129" s="180" t="s">
        <v>517</v>
      </c>
      <c r="C129" s="180">
        <v>1998</v>
      </c>
      <c r="D129" s="180">
        <v>1999</v>
      </c>
      <c r="E129" s="180">
        <v>2000</v>
      </c>
      <c r="F129" s="180">
        <v>2001</v>
      </c>
      <c r="G129" s="180">
        <v>2002</v>
      </c>
      <c r="H129" s="180">
        <v>2003</v>
      </c>
      <c r="I129" s="180">
        <v>2004</v>
      </c>
      <c r="J129" s="180">
        <v>2005</v>
      </c>
      <c r="K129" s="180">
        <v>2006</v>
      </c>
      <c r="L129" s="180">
        <v>2007</v>
      </c>
      <c r="M129" s="180">
        <v>2008</v>
      </c>
      <c r="N129" s="180">
        <v>2009</v>
      </c>
      <c r="O129" s="180">
        <v>2010</v>
      </c>
      <c r="P129" s="180">
        <v>2011</v>
      </c>
      <c r="Q129" s="180">
        <v>2012</v>
      </c>
      <c r="R129" s="180">
        <v>2013</v>
      </c>
      <c r="S129" s="180">
        <v>2014</v>
      </c>
      <c r="T129" s="180">
        <v>2015</v>
      </c>
      <c r="U129" s="180">
        <v>2016</v>
      </c>
      <c r="V129" s="180">
        <v>2017</v>
      </c>
      <c r="W129" s="180">
        <v>2018</v>
      </c>
      <c r="X129" s="180">
        <f>X121</f>
        <v>2019</v>
      </c>
      <c r="Y129" s="180">
        <f>Y121</f>
        <v>2020</v>
      </c>
      <c r="Z129" s="180">
        <f>Z121</f>
        <v>2021</v>
      </c>
      <c r="AA129" s="180">
        <f t="shared" ref="AA129:AD129" si="58">AA121</f>
        <v>2022</v>
      </c>
      <c r="AB129" s="180">
        <f t="shared" si="58"/>
        <v>2023</v>
      </c>
      <c r="AC129" s="180">
        <f t="shared" si="58"/>
        <v>2024</v>
      </c>
      <c r="AD129" s="180">
        <f t="shared" si="58"/>
        <v>2025</v>
      </c>
      <c r="AE129" s="180">
        <f t="shared" ref="AE129" si="59">AE121</f>
        <v>2026</v>
      </c>
      <c r="AF129" s="180">
        <v>2027</v>
      </c>
      <c r="AG129" s="180">
        <v>2028</v>
      </c>
      <c r="AH129" s="180">
        <v>2029</v>
      </c>
      <c r="AI129" s="180">
        <v>2030</v>
      </c>
    </row>
    <row r="130" spans="2:35">
      <c r="B130" s="193" t="s">
        <v>444</v>
      </c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3"/>
      <c r="AG130" s="183"/>
      <c r="AH130" s="183"/>
      <c r="AI130" s="183"/>
    </row>
    <row r="131" spans="2:35">
      <c r="B131" s="194" t="s">
        <v>28</v>
      </c>
      <c r="C131" s="340">
        <f>S131/(SUM($S$131:$S$134))</f>
        <v>0.69140405984665154</v>
      </c>
      <c r="D131" s="183"/>
      <c r="E131" s="183"/>
      <c r="F131" s="183"/>
      <c r="G131" s="183"/>
      <c r="H131" s="183"/>
      <c r="I131" s="183"/>
      <c r="J131" s="195"/>
      <c r="K131" s="195"/>
      <c r="L131" s="195"/>
      <c r="M131" s="195"/>
      <c r="N131" s="182">
        <f>'Master old'!K216</f>
        <v>740775</v>
      </c>
      <c r="O131" s="182">
        <f>'Master old'!L216</f>
        <v>840055</v>
      </c>
      <c r="P131" s="182">
        <f>'Master old'!M216</f>
        <v>966709</v>
      </c>
      <c r="Q131" s="182">
        <f>'Master old'!N216</f>
        <v>1142690</v>
      </c>
      <c r="R131" s="182">
        <f>'Master old'!O216</f>
        <v>1271726</v>
      </c>
      <c r="S131" s="182">
        <f>'Master old'!P216</f>
        <v>1150533</v>
      </c>
      <c r="T131" s="182">
        <f>'Master old'!Q216</f>
        <v>1150219</v>
      </c>
      <c r="U131" s="182">
        <f>'Master old'!R216</f>
        <v>1082156</v>
      </c>
      <c r="V131" s="182">
        <f>'Master old'!S216</f>
        <v>1050383</v>
      </c>
      <c r="W131" s="182">
        <f>'Master old'!T216</f>
        <v>1001679</v>
      </c>
      <c r="X131" s="182">
        <f>'Master old'!U216</f>
        <v>968403.96862855472</v>
      </c>
      <c r="Y131" s="182">
        <f>'Master old'!V216</f>
        <v>968500.22316318192</v>
      </c>
      <c r="Z131" s="182">
        <f>'Master old'!W216</f>
        <v>972540.12042783445</v>
      </c>
      <c r="AA131" s="182">
        <f>'Master old'!X216</f>
        <v>981378.41127974924</v>
      </c>
      <c r="AB131" s="182">
        <f>'Master old'!Y216</f>
        <v>994538.85503036913</v>
      </c>
      <c r="AC131" s="182">
        <f>'Master old'!Z216</f>
        <v>1011593.6503816172</v>
      </c>
      <c r="AD131" s="182">
        <f>'Master old'!AA216</f>
        <v>1032155.6304227852</v>
      </c>
      <c r="AE131" s="182">
        <f>'Master old'!AB216</f>
        <v>1055871.1673589346</v>
      </c>
      <c r="AF131" s="183"/>
      <c r="AG131" s="183"/>
      <c r="AH131" s="183"/>
      <c r="AI131" s="183"/>
    </row>
    <row r="132" spans="2:35">
      <c r="B132" s="194" t="s">
        <v>29</v>
      </c>
      <c r="C132" s="340">
        <f>S132/(SUM($S$131:$S$134))</f>
        <v>0.18482344011879429</v>
      </c>
      <c r="D132" s="182"/>
      <c r="E132" s="182"/>
      <c r="F132" s="182"/>
      <c r="G132" s="182"/>
      <c r="H132" s="182"/>
      <c r="I132" s="182"/>
      <c r="J132" s="195"/>
      <c r="K132" s="195"/>
      <c r="L132" s="195"/>
      <c r="M132" s="195"/>
      <c r="N132" s="182">
        <f>'Master old'!K217</f>
        <v>220497</v>
      </c>
      <c r="O132" s="182">
        <f>'Master old'!L217</f>
        <v>216569</v>
      </c>
      <c r="P132" s="182">
        <f>'Master old'!M217</f>
        <v>234626</v>
      </c>
      <c r="Q132" s="182">
        <f>'Master old'!N217</f>
        <v>255379</v>
      </c>
      <c r="R132" s="182">
        <f>'Master old'!O217</f>
        <v>272515</v>
      </c>
      <c r="S132" s="182">
        <f>'Master old'!P217</f>
        <v>307556</v>
      </c>
      <c r="T132" s="182">
        <f>'Master old'!Q217</f>
        <v>302572</v>
      </c>
      <c r="U132" s="182">
        <f>'Master old'!R217</f>
        <v>341861</v>
      </c>
      <c r="V132" s="182">
        <f>'Master old'!S217</f>
        <v>357673</v>
      </c>
      <c r="W132" s="182">
        <f>'Master old'!T217</f>
        <v>369604</v>
      </c>
      <c r="X132" s="182">
        <f ca="1">'Master old'!U217</f>
        <v>378289.23617413139</v>
      </c>
      <c r="Y132" s="182">
        <f ca="1">'Master old'!V217</f>
        <v>393937.27566218603</v>
      </c>
      <c r="Z132" s="182">
        <f ca="1">'Master old'!W217</f>
        <v>411109.10155537893</v>
      </c>
      <c r="AA132" s="182">
        <f ca="1">'Master old'!X217</f>
        <v>429910.72329358343</v>
      </c>
      <c r="AB132" s="182">
        <f ca="1">'Master old'!Y217</f>
        <v>450458.4403929559</v>
      </c>
      <c r="AC132" s="182">
        <f ca="1">'Master old'!Z217</f>
        <v>472879.53162589989</v>
      </c>
      <c r="AD132" s="182">
        <f ca="1">'Master old'!AA217</f>
        <v>497313.02223987953</v>
      </c>
      <c r="AE132" s="182">
        <f ca="1">'Master old'!AB217</f>
        <v>523910.53453950991</v>
      </c>
      <c r="AF132" s="183"/>
      <c r="AG132" s="183"/>
      <c r="AH132" s="183"/>
      <c r="AI132" s="183"/>
    </row>
    <row r="133" spans="2:35">
      <c r="B133" s="194" t="s">
        <v>30</v>
      </c>
      <c r="C133" s="340">
        <f>S133/(SUM($S$131:$S$134))</f>
        <v>0.10681931404829052</v>
      </c>
      <c r="D133" s="182"/>
      <c r="E133" s="182"/>
      <c r="F133" s="182"/>
      <c r="G133" s="182"/>
      <c r="H133" s="182"/>
      <c r="I133" s="182"/>
      <c r="J133" s="195"/>
      <c r="K133" s="195"/>
      <c r="L133" s="195"/>
      <c r="M133" s="195"/>
      <c r="N133" s="182">
        <f>'Master old'!K218+'Master old'!K219</f>
        <v>19988</v>
      </c>
      <c r="O133" s="182">
        <f>'Master old'!L218+'Master old'!L219</f>
        <v>19411</v>
      </c>
      <c r="P133" s="182">
        <f>'Master old'!M218+'Master old'!M219</f>
        <v>19147</v>
      </c>
      <c r="Q133" s="182">
        <f>'Master old'!N218+'Master old'!N219</f>
        <v>20111</v>
      </c>
      <c r="R133" s="182">
        <f>'Master old'!O218+'Master old'!O219</f>
        <v>67770</v>
      </c>
      <c r="S133" s="182">
        <f>'Master old'!P218+'Master old'!P219</f>
        <v>177753</v>
      </c>
      <c r="T133" s="182">
        <f>'Master old'!Q218+'Master old'!Q219</f>
        <v>263847</v>
      </c>
      <c r="U133" s="182">
        <f>'Master old'!R218+'Master old'!R219</f>
        <v>372345</v>
      </c>
      <c r="V133" s="182">
        <f>'Master old'!S218+'Master old'!S219</f>
        <v>483893</v>
      </c>
      <c r="W133" s="182">
        <f>'Master old'!T218+'Master old'!T219</f>
        <v>493387</v>
      </c>
      <c r="X133" s="182">
        <f ca="1">'Master old'!U218+'Master old'!U219</f>
        <v>583404.67704406381</v>
      </c>
      <c r="Y133" s="182">
        <f ca="1">'Master old'!V218+'Master old'!V219</f>
        <v>700121.50573113433</v>
      </c>
      <c r="Z133" s="182">
        <f ca="1">'Master old'!W218+'Master old'!W219</f>
        <v>727316.50669462269</v>
      </c>
      <c r="AA133" s="182">
        <f ca="1">'Master old'!X218+'Master old'!X219</f>
        <v>744098.83366926224</v>
      </c>
      <c r="AB133" s="182">
        <f ca="1">'Master old'!Y218+'Master old'!Y219</f>
        <v>765520.94096944702</v>
      </c>
      <c r="AC133" s="182">
        <f ca="1">'Master old'!Z218+'Master old'!Z219</f>
        <v>786844.9488619481</v>
      </c>
      <c r="AD133" s="182">
        <f ca="1">'Master old'!AA218+'Master old'!AA219</f>
        <v>808232.8050103581</v>
      </c>
      <c r="AE133" s="182">
        <f ca="1">'Master old'!AB218+'Master old'!AB219</f>
        <v>829812.479024473</v>
      </c>
      <c r="AF133" s="183"/>
      <c r="AG133" s="183"/>
      <c r="AH133" s="183"/>
      <c r="AI133" s="183"/>
    </row>
    <row r="134" spans="2:35">
      <c r="B134" s="181" t="s">
        <v>20</v>
      </c>
      <c r="C134" s="340">
        <f>S134/(SUM($S$131:$S$134))</f>
        <v>1.695318598626366E-2</v>
      </c>
      <c r="D134" s="182"/>
      <c r="E134" s="182"/>
      <c r="F134" s="182"/>
      <c r="G134" s="182"/>
      <c r="H134" s="182"/>
      <c r="I134" s="182"/>
      <c r="J134" s="195"/>
      <c r="K134" s="195"/>
      <c r="L134" s="195"/>
      <c r="M134" s="195"/>
      <c r="N134" s="182">
        <f>'Master old'!K220</f>
        <v>13411</v>
      </c>
      <c r="O134" s="182">
        <f>'Master old'!L220</f>
        <v>10781</v>
      </c>
      <c r="P134" s="182">
        <f>'Master old'!M220</f>
        <v>20433</v>
      </c>
      <c r="Q134" s="182">
        <f>'Master old'!N220</f>
        <v>22708</v>
      </c>
      <c r="R134" s="182">
        <f>'Master old'!O220</f>
        <v>31919</v>
      </c>
      <c r="S134" s="182">
        <f>'Master old'!P220</f>
        <v>28211</v>
      </c>
      <c r="T134" s="182">
        <f>'Master old'!Q220</f>
        <v>76226</v>
      </c>
      <c r="U134" s="182">
        <f>'Master old'!R220</f>
        <v>79640</v>
      </c>
      <c r="V134" s="182">
        <f>'Master old'!S220</f>
        <v>63221</v>
      </c>
      <c r="W134" s="182">
        <f>'Master old'!T220</f>
        <v>71428</v>
      </c>
      <c r="X134" s="182">
        <f>'Master old'!U220</f>
        <v>64285.200000000004</v>
      </c>
      <c r="Y134" s="182">
        <f>'Master old'!V220</f>
        <v>64285.200000000004</v>
      </c>
      <c r="Z134" s="182">
        <f>'Master old'!W220</f>
        <v>64285.200000000004</v>
      </c>
      <c r="AA134" s="182">
        <f>'Master old'!X220</f>
        <v>64285.200000000004</v>
      </c>
      <c r="AB134" s="182">
        <f>'Master old'!Y220</f>
        <v>64285.200000000004</v>
      </c>
      <c r="AC134" s="182">
        <f>'Master old'!Z220</f>
        <v>64285.200000000004</v>
      </c>
      <c r="AD134" s="182">
        <f>'Master old'!AA220</f>
        <v>64285.200000000004</v>
      </c>
      <c r="AE134" s="182">
        <f>'Master old'!AB220</f>
        <v>64285.200000000004</v>
      </c>
      <c r="AF134" s="183"/>
      <c r="AG134" s="183"/>
      <c r="AH134" s="183"/>
      <c r="AI134" s="183"/>
    </row>
    <row r="135" spans="2:35">
      <c r="B135" s="194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3"/>
      <c r="AG135" s="183"/>
      <c r="AH135" s="183"/>
      <c r="AI135" s="183"/>
    </row>
    <row r="136" spans="2:35"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3"/>
      <c r="AG136" s="183"/>
      <c r="AH136" s="183"/>
      <c r="AI136" s="183"/>
    </row>
    <row r="137" spans="2:35">
      <c r="B137" s="181" t="s">
        <v>68</v>
      </c>
      <c r="C137" s="183"/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2">
        <f>'Master old'!K221</f>
        <v>994671</v>
      </c>
      <c r="O137" s="182">
        <f>'Master old'!L221</f>
        <v>1086816</v>
      </c>
      <c r="P137" s="182">
        <f>'Master old'!M221</f>
        <v>1240915</v>
      </c>
      <c r="Q137" s="182">
        <f>'Master old'!N221</f>
        <v>1440888</v>
      </c>
      <c r="R137" s="182">
        <f>'Master old'!O221</f>
        <v>1643930</v>
      </c>
      <c r="S137" s="182">
        <f>'Master old'!P221</f>
        <v>1664053</v>
      </c>
      <c r="T137" s="182">
        <f>'Master old'!Q221</f>
        <v>1792864</v>
      </c>
      <c r="U137" s="182">
        <f>'Master old'!R221</f>
        <v>1876002</v>
      </c>
      <c r="V137" s="182">
        <f>'Master old'!S221</f>
        <v>1955170</v>
      </c>
      <c r="W137" s="182">
        <f>'Master old'!T221</f>
        <v>1936098</v>
      </c>
      <c r="X137" s="182">
        <f ca="1">'Master old'!U221</f>
        <v>1994383.0818467499</v>
      </c>
      <c r="Y137" s="182">
        <f ca="1">'Master old'!V221</f>
        <v>2126844.2045565024</v>
      </c>
      <c r="Z137" s="182">
        <f ca="1">'Master old'!W221</f>
        <v>2175250.9286778364</v>
      </c>
      <c r="AA137" s="182">
        <f ca="1">'Master old'!X221</f>
        <v>2219673.1682425952</v>
      </c>
      <c r="AB137" s="182">
        <f ca="1">'Master old'!Y221</f>
        <v>2274803.4363927725</v>
      </c>
      <c r="AC137" s="182">
        <f ca="1">'Master old'!Z221</f>
        <v>2335603.3308694656</v>
      </c>
      <c r="AD137" s="182">
        <f ca="1">'Master old'!AA221</f>
        <v>2401986.6576730232</v>
      </c>
      <c r="AE137" s="182">
        <f ca="1">'Master old'!AB221</f>
        <v>2473879.3809229173</v>
      </c>
      <c r="AF137" s="183"/>
      <c r="AG137" s="183"/>
      <c r="AH137" s="183"/>
      <c r="AI137" s="183"/>
    </row>
    <row r="138" spans="2:35">
      <c r="B138" s="193" t="s">
        <v>4</v>
      </c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3"/>
      <c r="AG138" s="183"/>
      <c r="AH138" s="183"/>
      <c r="AI138" s="183"/>
    </row>
    <row r="139" spans="2:35">
      <c r="B139" s="194" t="str">
        <f>B131</f>
        <v>Chile mobile</v>
      </c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>
        <f>'Master old'!K228</f>
        <v>304061</v>
      </c>
      <c r="O139" s="182">
        <f>'Master old'!L228</f>
        <v>334261</v>
      </c>
      <c r="P139" s="182">
        <f ca="1">'Master old'!M228</f>
        <v>396348</v>
      </c>
      <c r="Q139" s="182">
        <f>'Master old'!N228</f>
        <v>420774</v>
      </c>
      <c r="R139" s="182">
        <f>'Master old'!O228</f>
        <v>348218</v>
      </c>
      <c r="S139" s="182">
        <f>'Master old'!P228</f>
        <v>406847</v>
      </c>
      <c r="T139" s="182">
        <f>'Master old'!Q228</f>
        <v>457197</v>
      </c>
      <c r="U139" s="182">
        <f>'Master old'!R228</f>
        <v>439898</v>
      </c>
      <c r="V139" s="182">
        <f>'Master old'!S228</f>
        <v>414818</v>
      </c>
      <c r="W139" s="182">
        <f>'Master old'!T228</f>
        <v>370706</v>
      </c>
      <c r="X139" s="182">
        <f>'Master old'!U228</f>
        <v>392203.60729456466</v>
      </c>
      <c r="Y139" s="182">
        <f>'Master old'!V228</f>
        <v>392242.59038108872</v>
      </c>
      <c r="Z139" s="182">
        <f>'Master old'!W228</f>
        <v>393878.74877327296</v>
      </c>
      <c r="AA139" s="182">
        <f>'Master old'!X228</f>
        <v>397458.25656829844</v>
      </c>
      <c r="AB139" s="182">
        <f>'Master old'!Y228</f>
        <v>402788.23628729954</v>
      </c>
      <c r="AC139" s="182">
        <f>'Master old'!Z228</f>
        <v>409695.42840455502</v>
      </c>
      <c r="AD139" s="182">
        <f>'Master old'!AA228</f>
        <v>418023.03032122803</v>
      </c>
      <c r="AE139" s="182">
        <f>'Master old'!AB228</f>
        <v>427627.82278036856</v>
      </c>
      <c r="AF139" s="183"/>
      <c r="AG139" s="183"/>
      <c r="AH139" s="183"/>
      <c r="AI139" s="183"/>
    </row>
    <row r="140" spans="2:35">
      <c r="B140" s="194" t="str">
        <f>B132</f>
        <v>Chile fixed</v>
      </c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>
        <f>'Master old'!K229</f>
        <v>95537</v>
      </c>
      <c r="O140" s="182">
        <f>'Master old'!L229</f>
        <v>109188</v>
      </c>
      <c r="P140" s="182">
        <f>'Master old'!M229</f>
        <v>114301</v>
      </c>
      <c r="Q140" s="182">
        <f>'Master old'!N229</f>
        <v>117216</v>
      </c>
      <c r="R140" s="182">
        <f>'Master old'!O229</f>
        <v>124819</v>
      </c>
      <c r="S140" s="182">
        <f>'Master old'!P229</f>
        <v>44044</v>
      </c>
      <c r="T140" s="182">
        <f>'Master old'!Q229</f>
        <v>65926</v>
      </c>
      <c r="U140" s="182">
        <f>'Master old'!R229</f>
        <v>85884</v>
      </c>
      <c r="V140" s="182">
        <f>'Master old'!S229</f>
        <v>90993</v>
      </c>
      <c r="W140" s="182">
        <f>'Master old'!T229</f>
        <v>97749</v>
      </c>
      <c r="X140" s="182">
        <f ca="1">'Master old'!U229</f>
        <v>98355.201405274172</v>
      </c>
      <c r="Y140" s="182">
        <f ca="1">'Master old'!V229</f>
        <v>102423.69167216837</v>
      </c>
      <c r="Z140" s="182">
        <f ca="1">'Master old'!W229</f>
        <v>106888.36640439852</v>
      </c>
      <c r="AA140" s="182">
        <f ca="1">'Master old'!X229</f>
        <v>111776.7880563317</v>
      </c>
      <c r="AB140" s="182">
        <f ca="1">'Master old'!Y229</f>
        <v>117119.19450216854</v>
      </c>
      <c r="AC140" s="182">
        <f ca="1">'Master old'!Z229</f>
        <v>122948.67822273397</v>
      </c>
      <c r="AD140" s="182">
        <f ca="1">'Master old'!AA229</f>
        <v>129301.38578236868</v>
      </c>
      <c r="AE140" s="182">
        <f ca="1">'Master old'!AB229</f>
        <v>136216.73898027258</v>
      </c>
      <c r="AF140" s="183"/>
      <c r="AG140" s="183"/>
      <c r="AH140" s="183"/>
      <c r="AI140" s="183"/>
    </row>
    <row r="141" spans="2:35">
      <c r="B141" s="194" t="str">
        <f>B133</f>
        <v>Peru</v>
      </c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>
        <f>'Master old'!K230+'Master old'!K231</f>
        <v>0</v>
      </c>
      <c r="O141" s="182">
        <f>'Master old'!L230+'Master old'!L231</f>
        <v>931</v>
      </c>
      <c r="P141" s="182">
        <f>'Master old'!M230+'Master old'!M231</f>
        <v>1843</v>
      </c>
      <c r="Q141" s="182">
        <f>'Master old'!N230+'Master old'!N231</f>
        <v>3590</v>
      </c>
      <c r="R141" s="182">
        <f>'Master old'!O230+'Master old'!O231</f>
        <v>-6968</v>
      </c>
      <c r="S141" s="182">
        <f>'Master old'!P230+'Master old'!P231</f>
        <v>-103705</v>
      </c>
      <c r="T141" s="182">
        <f>'Master old'!Q230+'Master old'!Q231</f>
        <v>-162868</v>
      </c>
      <c r="U141" s="182">
        <f>'Master old'!R230+'Master old'!R231</f>
        <v>-116730</v>
      </c>
      <c r="V141" s="182">
        <f>'Master old'!S230+'Master old'!S231</f>
        <v>-73120</v>
      </c>
      <c r="W141" s="182">
        <f>'Master old'!T230+'Master old'!T231</f>
        <v>-49965</v>
      </c>
      <c r="X141" s="182">
        <f ca="1">'Master old'!U230+'Master old'!U231</f>
        <v>3517.8973663466668</v>
      </c>
      <c r="Y141" s="182">
        <f ca="1">'Master old'!V230+'Master old'!V231</f>
        <v>46575.451885900395</v>
      </c>
      <c r="Z141" s="182">
        <f ca="1">'Master old'!W230+'Master old'!W231</f>
        <v>90934.958358936768</v>
      </c>
      <c r="AA141" s="182">
        <f ca="1">'Master old'!X230+'Master old'!X231</f>
        <v>124289.87122010301</v>
      </c>
      <c r="AB141" s="182">
        <f ca="1">'Master old'!Y230+'Master old'!Y231</f>
        <v>161449.97677018528</v>
      </c>
      <c r="AC141" s="182">
        <f ca="1">'Master old'!Z230+'Master old'!Z231</f>
        <v>193552.00895933551</v>
      </c>
      <c r="AD141" s="182">
        <f ca="1">'Master old'!AA230+'Master old'!AA231</f>
        <v>225591.07937061795</v>
      </c>
      <c r="AE141" s="182">
        <f ca="1">'Master old'!AB230+'Master old'!AB231</f>
        <v>257154.85349036369</v>
      </c>
      <c r="AF141" s="183"/>
      <c r="AG141" s="183"/>
      <c r="AH141" s="183"/>
      <c r="AI141" s="183"/>
    </row>
    <row r="142" spans="2:35">
      <c r="B142" s="194" t="str">
        <f>B134</f>
        <v>Other</v>
      </c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>
        <f>'Master old'!K232</f>
        <v>1760</v>
      </c>
      <c r="O142" s="182">
        <f>'Master old'!L232</f>
        <v>2049</v>
      </c>
      <c r="P142" s="182">
        <f ca="1">'Master old'!M232</f>
        <v>2707</v>
      </c>
      <c r="Q142" s="182">
        <f>'Master old'!N232</f>
        <v>1045</v>
      </c>
      <c r="R142" s="182">
        <f>'Master old'!O232</f>
        <v>-4131</v>
      </c>
      <c r="S142" s="182">
        <f>'Master old'!P232</f>
        <v>18964</v>
      </c>
      <c r="T142" s="182">
        <f>'Master old'!Q232</f>
        <v>4531</v>
      </c>
      <c r="U142" s="182">
        <f>'Master old'!R232</f>
        <v>7229</v>
      </c>
      <c r="V142" s="182">
        <f>'Master old'!S232</f>
        <v>7412</v>
      </c>
      <c r="W142" s="182">
        <f>'Master old'!T232</f>
        <v>8431</v>
      </c>
      <c r="X142" s="182">
        <f>'Master old'!U232</f>
        <v>9274.1</v>
      </c>
      <c r="Y142" s="182">
        <f>'Master old'!V232</f>
        <v>8346.69</v>
      </c>
      <c r="Z142" s="182">
        <f>'Master old'!W232</f>
        <v>7512.0210000000006</v>
      </c>
      <c r="AA142" s="182">
        <f>'Master old'!X232</f>
        <v>6760.8189000000011</v>
      </c>
      <c r="AB142" s="182">
        <f>'Master old'!Y232</f>
        <v>6084.7370100000007</v>
      </c>
      <c r="AC142" s="182">
        <f>'Master old'!Z232</f>
        <v>5476.2633090000008</v>
      </c>
      <c r="AD142" s="182">
        <f>'Master old'!AA232</f>
        <v>4928.6369781000012</v>
      </c>
      <c r="AE142" s="182">
        <f>'Master old'!AB232</f>
        <v>4435.7732802900009</v>
      </c>
      <c r="AF142" s="183"/>
      <c r="AG142" s="183"/>
      <c r="AH142" s="183"/>
      <c r="AI142" s="183"/>
    </row>
    <row r="143" spans="2:35">
      <c r="B143" s="194"/>
      <c r="C143" s="183"/>
      <c r="D143" s="183"/>
      <c r="E143" s="183"/>
      <c r="F143" s="183"/>
      <c r="G143" s="183"/>
      <c r="H143" s="183"/>
      <c r="I143" s="183"/>
      <c r="J143" s="195"/>
      <c r="K143" s="195"/>
      <c r="L143" s="195"/>
      <c r="M143" s="195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3"/>
      <c r="AG143" s="183"/>
      <c r="AH143" s="183"/>
      <c r="AI143" s="183"/>
    </row>
    <row r="144" spans="2:35">
      <c r="B144" s="181" t="s">
        <v>4</v>
      </c>
      <c r="C144" s="183"/>
      <c r="D144" s="183"/>
      <c r="E144" s="183"/>
      <c r="F144" s="183"/>
      <c r="G144" s="183"/>
      <c r="H144" s="183"/>
      <c r="I144" s="183"/>
      <c r="J144" s="190"/>
      <c r="K144" s="190"/>
      <c r="L144" s="190"/>
      <c r="M144" s="190"/>
      <c r="N144" s="182">
        <f>'Master old'!K233</f>
        <v>401358</v>
      </c>
      <c r="O144" s="182">
        <f>'Master old'!L233</f>
        <v>446429</v>
      </c>
      <c r="P144" s="182">
        <f>'Master old'!M233</f>
        <v>515199</v>
      </c>
      <c r="Q144" s="182">
        <f>'Master old'!N233</f>
        <v>542625</v>
      </c>
      <c r="R144" s="182">
        <f>'Master old'!O233</f>
        <v>461938</v>
      </c>
      <c r="S144" s="182">
        <f>'Master old'!P233</f>
        <v>366150</v>
      </c>
      <c r="T144" s="182">
        <f>'Master old'!Q233</f>
        <v>364786</v>
      </c>
      <c r="U144" s="182">
        <f>'Master old'!R233</f>
        <v>416281</v>
      </c>
      <c r="V144" s="182">
        <f>'Master old'!S233</f>
        <v>440103</v>
      </c>
      <c r="W144" s="182">
        <f>'Master old'!T233</f>
        <v>426921</v>
      </c>
      <c r="X144" s="182">
        <f ca="1">'Master old'!U233</f>
        <v>503350.80606618541</v>
      </c>
      <c r="Y144" s="182">
        <f ca="1">'Master old'!V233</f>
        <v>549588.42393915739</v>
      </c>
      <c r="Z144" s="182">
        <f ca="1">'Master old'!W233</f>
        <v>599214.0945366082</v>
      </c>
      <c r="AA144" s="182">
        <f ca="1">'Master old'!X233</f>
        <v>640285.73474473308</v>
      </c>
      <c r="AB144" s="182">
        <f ca="1">'Master old'!Y233</f>
        <v>687442.14456965355</v>
      </c>
      <c r="AC144" s="182">
        <f ca="1">'Master old'!Z233</f>
        <v>731672.37889562442</v>
      </c>
      <c r="AD144" s="182">
        <f ca="1">'Master old'!AA233</f>
        <v>777844.1324523146</v>
      </c>
      <c r="AE144" s="182">
        <f ca="1">'Master old'!AB233</f>
        <v>825435.1885312947</v>
      </c>
      <c r="AF144" s="183"/>
      <c r="AG144" s="183"/>
      <c r="AH144" s="183"/>
      <c r="AI144" s="183"/>
    </row>
    <row r="145" spans="2:35"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3"/>
      <c r="AG145" s="183"/>
      <c r="AH145" s="183"/>
      <c r="AI145" s="183"/>
    </row>
    <row r="146" spans="2:35">
      <c r="B146" s="193" t="s">
        <v>137</v>
      </c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3"/>
      <c r="AG146" s="183"/>
      <c r="AH146" s="183"/>
      <c r="AI146" s="183"/>
    </row>
    <row r="147" spans="2:35">
      <c r="B147" s="181" t="str">
        <f>B139</f>
        <v>Chile mobile</v>
      </c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>
        <f>'Master old'!K246+'Master old'!K254</f>
        <v>180108.62999999998</v>
      </c>
      <c r="O147" s="182">
        <f>'Master old'!L246+'Master old'!L254</f>
        <v>200611.28999999998</v>
      </c>
      <c r="P147" s="182">
        <f>'Master old'!M246+'Master old'!M254</f>
        <v>247313.93999999997</v>
      </c>
      <c r="Q147" s="182">
        <f>'Master old'!N246+'Master old'!N254</f>
        <v>262838.25</v>
      </c>
      <c r="R147" s="182">
        <f>'Master old'!O246+'Master old'!O254</f>
        <v>201369.03625000003</v>
      </c>
      <c r="S147" s="182">
        <f>'Master old'!P246+'Master old'!P254</f>
        <v>241542.39999999999</v>
      </c>
      <c r="T147" s="182">
        <f>'Master old'!Q246+'Master old'!Q254</f>
        <v>173305.2</v>
      </c>
      <c r="U147" s="182">
        <f>'Master old'!R246+'Master old'!R254</f>
        <v>144199.6</v>
      </c>
      <c r="V147" s="182">
        <f>'Master old'!S246+'Master old'!S254</f>
        <v>154804.4</v>
      </c>
      <c r="W147" s="182">
        <f>'Master old'!T246+'Master old'!T254</f>
        <v>172808.40000000002</v>
      </c>
      <c r="X147" s="182">
        <f>'Master old'!U246+'Master old'!U254</f>
        <v>159786.65482371155</v>
      </c>
      <c r="Y147" s="182">
        <f>'Master old'!V246+'Master old'!V254</f>
        <v>159802.53682192502</v>
      </c>
      <c r="Z147" s="182">
        <f>'Master old'!W246+'Master old'!W254</f>
        <v>158037.76956952311</v>
      </c>
      <c r="AA147" s="182">
        <f>'Master old'!X246+'Master old'!X254</f>
        <v>157020.54580475989</v>
      </c>
      <c r="AB147" s="182">
        <f>'Master old'!Y246+'Master old'!Y254</f>
        <v>139235.43970425168</v>
      </c>
      <c r="AC147" s="182">
        <f>'Master old'!Z246+'Master old'!Z254</f>
        <v>141623.11105342643</v>
      </c>
      <c r="AD147" s="182">
        <f>'Master old'!AA246+'Master old'!AA254</f>
        <v>144501.78825918993</v>
      </c>
      <c r="AE147" s="182">
        <f>'Master old'!AB246+'Master old'!AB254</f>
        <v>147821.96343025088</v>
      </c>
      <c r="AF147" s="183"/>
      <c r="AG147" s="183"/>
      <c r="AH147" s="183"/>
      <c r="AI147" s="183"/>
    </row>
    <row r="148" spans="2:35">
      <c r="B148" s="181" t="str">
        <f>B140</f>
        <v>Chile fixed</v>
      </c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>
        <f>'Master old'!K247</f>
        <v>35279.520000000004</v>
      </c>
      <c r="O148" s="182">
        <f>'Master old'!L247</f>
        <v>61722.164999999994</v>
      </c>
      <c r="P148" s="182">
        <f>'Master old'!M247</f>
        <v>70387.8</v>
      </c>
      <c r="Q148" s="182">
        <f>'Master old'!N247</f>
        <v>89382.65</v>
      </c>
      <c r="R148" s="182">
        <f>'Master old'!O247</f>
        <v>81754.5</v>
      </c>
      <c r="S148" s="182">
        <f>'Master old'!P247</f>
        <v>92266.8</v>
      </c>
      <c r="T148" s="182">
        <f>'Master old'!Q247</f>
        <v>90771.599999999991</v>
      </c>
      <c r="U148" s="182">
        <f>'Master old'!R247</f>
        <v>88883.86</v>
      </c>
      <c r="V148" s="182">
        <f>'Master old'!S247</f>
        <v>92994.98</v>
      </c>
      <c r="W148" s="182">
        <f>'Master old'!T247</f>
        <v>96097.040000000008</v>
      </c>
      <c r="X148" s="182">
        <f ca="1">'Master old'!U247</f>
        <v>90789.416681791525</v>
      </c>
      <c r="Y148" s="182">
        <f ca="1">'Master old'!V247</f>
        <v>90605.573402302791</v>
      </c>
      <c r="Z148" s="182">
        <f ca="1">'Master old'!W247</f>
        <v>94555.093357737162</v>
      </c>
      <c r="AA148" s="182">
        <f ca="1">'Master old'!X247</f>
        <v>98879.466357524187</v>
      </c>
      <c r="AB148" s="182">
        <f ca="1">'Master old'!Y247</f>
        <v>103605.44129037987</v>
      </c>
      <c r="AC148" s="182">
        <f ca="1">'Master old'!Z247</f>
        <v>104033.49695769798</v>
      </c>
      <c r="AD148" s="182">
        <f ca="1">'Master old'!AA247</f>
        <v>99462.604447975915</v>
      </c>
      <c r="AE148" s="182">
        <f ca="1">'Master old'!AB247</f>
        <v>104782.10690790199</v>
      </c>
      <c r="AF148" s="183"/>
      <c r="AG148" s="183"/>
      <c r="AH148" s="183"/>
      <c r="AI148" s="183"/>
    </row>
    <row r="149" spans="2:35">
      <c r="B149" s="181" t="str">
        <f>B141</f>
        <v>Peru</v>
      </c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>
        <f>'Master old'!K248+'Master old'!K249</f>
        <v>3778.1978242051891</v>
      </c>
      <c r="O149" s="182">
        <f>'Master old'!L248+'Master old'!L249</f>
        <v>3578.8013205547213</v>
      </c>
      <c r="P149" s="182">
        <f>'Master old'!M248+'Master old'!M249</f>
        <v>3918.0375771104386</v>
      </c>
      <c r="Q149" s="182">
        <f>'Master old'!N248+'Master old'!N249</f>
        <v>3640.8040666588936</v>
      </c>
      <c r="R149" s="182">
        <f>'Master old'!O248+'Master old'!O249</f>
        <v>59899.030417012058</v>
      </c>
      <c r="S149" s="182">
        <f>'Master old'!P248+'Master old'!P249</f>
        <v>168687.29396972025</v>
      </c>
      <c r="T149" s="182">
        <f>'Master old'!Q248+'Master old'!Q249</f>
        <v>164802.9200458038</v>
      </c>
      <c r="U149" s="182">
        <f>'Master old'!R248+'Master old'!R249</f>
        <v>109974.56214225786</v>
      </c>
      <c r="V149" s="182">
        <f>'Master old'!S248+'Master old'!S249</f>
        <v>109032.6224128848</v>
      </c>
      <c r="W149" s="182">
        <f ca="1">'Master old'!T248+'Master old'!T249</f>
        <v>108199.94765888965</v>
      </c>
      <c r="X149" s="182">
        <f ca="1">'Master old'!U248+'Master old'!U249</f>
        <v>116681.27872142628</v>
      </c>
      <c r="Y149" s="182">
        <f ca="1">'Master old'!V248+'Master old'!V249</f>
        <v>128007.31225436041</v>
      </c>
      <c r="Z149" s="182">
        <f ca="1">'Master old'!W248+'Master old'!W249</f>
        <v>120731.08493728722</v>
      </c>
      <c r="AA149" s="182">
        <f ca="1">'Master old'!X248+'Master old'!X249</f>
        <v>117290.50687651387</v>
      </c>
      <c r="AB149" s="182">
        <f ca="1">'Master old'!Y248+'Master old'!Y249</f>
        <v>113950.15761109801</v>
      </c>
      <c r="AC149" s="182">
        <f ca="1">'Master old'!Z248+'Master old'!Z249</f>
        <v>110707.07428006468</v>
      </c>
      <c r="AD149" s="182">
        <f ca="1">'Master old'!AA248+'Master old'!AA249</f>
        <v>107558.38160749998</v>
      </c>
      <c r="AE149" s="182">
        <f ca="1">'Master old'!AB248+'Master old'!AB249</f>
        <v>104501.28931345107</v>
      </c>
      <c r="AF149" s="183"/>
      <c r="AG149" s="183"/>
      <c r="AH149" s="183"/>
      <c r="AI149" s="183"/>
    </row>
    <row r="150" spans="2:35">
      <c r="B150" s="181" t="str">
        <f>B142</f>
        <v>Other</v>
      </c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>
        <f>'Master old'!K250</f>
        <v>41860.652175794829</v>
      </c>
      <c r="O150" s="182">
        <f>'Master old'!L250</f>
        <v>24828.743679445306</v>
      </c>
      <c r="P150" s="182">
        <f>'Master old'!M250</f>
        <v>36806.222422889587</v>
      </c>
      <c r="Q150" s="182">
        <f>'Master old'!N250</f>
        <v>25063.295933341113</v>
      </c>
      <c r="R150" s="182">
        <f>'Master old'!O250</f>
        <v>23102.953787533406</v>
      </c>
      <c r="S150" s="182">
        <f>'Master old'!P250</f>
        <v>11423.506030279736</v>
      </c>
      <c r="T150" s="182">
        <f>'Master old'!Q250</f>
        <v>4383.2799541962158</v>
      </c>
      <c r="U150" s="182">
        <f>'Master old'!R250</f>
        <v>17440.977857742138</v>
      </c>
      <c r="V150" s="182">
        <f>'Master old'!S250</f>
        <v>30178.997587115198</v>
      </c>
      <c r="W150" s="182">
        <f ca="1">'Master old'!T250</f>
        <v>54915.612341110333</v>
      </c>
      <c r="X150" s="182">
        <f ca="1">'Master old'!U250</f>
        <v>54915.612341110333</v>
      </c>
      <c r="Y150" s="182">
        <f ca="1">'Master old'!V250</f>
        <v>54915.612341110333</v>
      </c>
      <c r="Z150" s="182">
        <f ca="1">'Master old'!W250</f>
        <v>54915.612341110333</v>
      </c>
      <c r="AA150" s="182">
        <f ca="1">'Master old'!X250</f>
        <v>54915.612341110333</v>
      </c>
      <c r="AB150" s="182">
        <f ca="1">'Master old'!Y250</f>
        <v>54915.612341110333</v>
      </c>
      <c r="AC150" s="182">
        <f ca="1">'Master old'!Z250</f>
        <v>54915.612341110333</v>
      </c>
      <c r="AD150" s="182">
        <f ca="1">'Master old'!AA250</f>
        <v>54915.612341110333</v>
      </c>
      <c r="AE150" s="182">
        <f ca="1">'Master old'!AB250</f>
        <v>54915.612341110333</v>
      </c>
      <c r="AF150" s="183"/>
      <c r="AG150" s="183"/>
      <c r="AH150" s="183"/>
      <c r="AI150" s="183"/>
    </row>
    <row r="151" spans="2:35">
      <c r="B151" s="194"/>
      <c r="C151" s="183"/>
      <c r="D151" s="183"/>
      <c r="E151" s="183"/>
      <c r="F151" s="183"/>
      <c r="G151" s="183"/>
      <c r="H151" s="183"/>
      <c r="I151" s="183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3"/>
      <c r="AG151" s="183"/>
      <c r="AH151" s="183"/>
      <c r="AI151" s="183"/>
    </row>
    <row r="152" spans="2:35">
      <c r="B152" s="181" t="s">
        <v>68</v>
      </c>
      <c r="C152" s="183"/>
      <c r="D152" s="183"/>
      <c r="E152" s="183"/>
      <c r="F152" s="183"/>
      <c r="G152" s="183"/>
      <c r="H152" s="183"/>
      <c r="I152" s="183"/>
      <c r="J152" s="182"/>
      <c r="K152" s="182"/>
      <c r="L152" s="182"/>
      <c r="M152" s="182"/>
      <c r="N152" s="182">
        <f>'Master old'!K255</f>
        <v>261027</v>
      </c>
      <c r="O152" s="182">
        <f>'Master old'!L255</f>
        <v>290741</v>
      </c>
      <c r="P152" s="182">
        <f>'Master old'!M255</f>
        <v>358426</v>
      </c>
      <c r="Q152" s="182">
        <f>'Master old'!N255</f>
        <v>380925</v>
      </c>
      <c r="R152" s="182">
        <f>'Master old'!O255</f>
        <v>366125.52045454551</v>
      </c>
      <c r="S152" s="182">
        <f>'Master old'!P255</f>
        <v>513920</v>
      </c>
      <c r="T152" s="182">
        <f>'Master old'!Q255</f>
        <v>433263</v>
      </c>
      <c r="U152" s="182">
        <f>'Master old'!R255</f>
        <v>360499</v>
      </c>
      <c r="V152" s="182">
        <f>'Master old'!S255</f>
        <v>387011</v>
      </c>
      <c r="W152" s="182">
        <f>'Master old'!T255</f>
        <v>432021</v>
      </c>
      <c r="X152" s="182">
        <f ca="1">'Master old'!U255</f>
        <v>422172.96256803966</v>
      </c>
      <c r="Y152" s="182">
        <f ca="1">'Master old'!V255</f>
        <v>433331.03481969854</v>
      </c>
      <c r="Z152" s="182">
        <f ca="1">'Master old'!W255</f>
        <v>428239.56020565785</v>
      </c>
      <c r="AA152" s="182">
        <f ca="1">'Master old'!X255</f>
        <v>428106.1313799083</v>
      </c>
      <c r="AB152" s="182">
        <f ca="1">'Master old'!Y255</f>
        <v>411706.65094683995</v>
      </c>
      <c r="AC152" s="182">
        <f ca="1">'Master old'!Z255</f>
        <v>411279.29463229945</v>
      </c>
      <c r="AD152" s="182">
        <f ca="1">'Master old'!AA255</f>
        <v>406438.38665577618</v>
      </c>
      <c r="AE152" s="182">
        <f ca="1">'Master old'!AB255</f>
        <v>412020.97199271433</v>
      </c>
      <c r="AF152" s="183"/>
      <c r="AG152" s="183"/>
      <c r="AH152" s="183"/>
      <c r="AI152" s="183"/>
    </row>
    <row r="153" spans="2:35"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3"/>
      <c r="AG153" s="183"/>
      <c r="AH153" s="183"/>
      <c r="AI153" s="183"/>
    </row>
    <row r="155" spans="2:35">
      <c r="B155" s="180" t="s">
        <v>518</v>
      </c>
      <c r="C155" s="180">
        <v>1998</v>
      </c>
      <c r="D155" s="180">
        <v>1999</v>
      </c>
      <c r="E155" s="180">
        <v>2000</v>
      </c>
      <c r="F155" s="180">
        <v>2001</v>
      </c>
      <c r="G155" s="180">
        <v>2002</v>
      </c>
      <c r="H155" s="180">
        <v>2003</v>
      </c>
      <c r="I155" s="180">
        <v>2004</v>
      </c>
      <c r="J155" s="180">
        <v>2005</v>
      </c>
      <c r="K155" s="180">
        <v>2006</v>
      </c>
      <c r="L155" s="180">
        <v>2007</v>
      </c>
      <c r="M155" s="180">
        <v>2008</v>
      </c>
      <c r="N155" s="180">
        <v>2009</v>
      </c>
      <c r="O155" s="180">
        <v>2010</v>
      </c>
      <c r="P155" s="180">
        <v>2011</v>
      </c>
      <c r="Q155" s="180">
        <v>2012</v>
      </c>
      <c r="R155" s="180">
        <v>2013</v>
      </c>
      <c r="S155" s="180">
        <v>2014</v>
      </c>
      <c r="T155" s="180">
        <v>2015</v>
      </c>
      <c r="U155" s="180">
        <v>2016</v>
      </c>
      <c r="V155" s="180">
        <v>2017</v>
      </c>
      <c r="W155" s="180">
        <v>2018</v>
      </c>
      <c r="X155" s="180">
        <f>X129</f>
        <v>2019</v>
      </c>
      <c r="Y155" s="180">
        <f>Y129</f>
        <v>2020</v>
      </c>
      <c r="Z155" s="180">
        <f>Z129</f>
        <v>2021</v>
      </c>
      <c r="AA155" s="180">
        <f t="shared" ref="AA155:AD155" si="60">AA129</f>
        <v>2022</v>
      </c>
      <c r="AB155" s="180">
        <f t="shared" si="60"/>
        <v>2023</v>
      </c>
      <c r="AC155" s="180">
        <f t="shared" si="60"/>
        <v>2024</v>
      </c>
      <c r="AD155" s="180">
        <f t="shared" si="60"/>
        <v>2025</v>
      </c>
      <c r="AE155" s="180">
        <f t="shared" ref="AE155" si="61">AE129</f>
        <v>2026</v>
      </c>
      <c r="AF155" s="180">
        <v>2027</v>
      </c>
      <c r="AG155" s="180">
        <v>2028</v>
      </c>
      <c r="AH155" s="180">
        <v>2029</v>
      </c>
      <c r="AI155" s="180">
        <v>2030</v>
      </c>
    </row>
    <row r="156" spans="2:35">
      <c r="B156" s="181" t="s">
        <v>519</v>
      </c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3"/>
      <c r="AG156" s="183"/>
      <c r="AH156" s="183"/>
      <c r="AI156" s="183"/>
    </row>
    <row r="157" spans="2:35">
      <c r="B157" s="181" t="s">
        <v>520</v>
      </c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3"/>
      <c r="AG157" s="183"/>
      <c r="AH157" s="183"/>
      <c r="AI157" s="183"/>
    </row>
    <row r="158" spans="2:35">
      <c r="B158" s="181" t="s">
        <v>521</v>
      </c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3"/>
      <c r="AG158" s="183"/>
      <c r="AH158" s="183"/>
      <c r="AI158" s="183"/>
    </row>
    <row r="159" spans="2:35">
      <c r="B159" s="181" t="s">
        <v>522</v>
      </c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3"/>
      <c r="AG159" s="183"/>
      <c r="AH159" s="183"/>
      <c r="AI159" s="183"/>
    </row>
    <row r="160" spans="2:35">
      <c r="B160" s="181" t="s">
        <v>523</v>
      </c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3"/>
      <c r="AG160" s="183"/>
      <c r="AH160" s="183"/>
      <c r="AI160" s="183"/>
    </row>
    <row r="161" spans="2:40">
      <c r="B161" s="181" t="s">
        <v>524</v>
      </c>
      <c r="C161" s="196"/>
      <c r="D161" s="196"/>
      <c r="E161" s="196"/>
      <c r="F161" s="196"/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83"/>
      <c r="AG161" s="183"/>
      <c r="AH161" s="183"/>
      <c r="AI161" s="183"/>
    </row>
    <row r="162" spans="2:40">
      <c r="B162" s="181" t="s">
        <v>525</v>
      </c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3"/>
      <c r="AG162" s="183"/>
      <c r="AH162" s="183"/>
      <c r="AI162" s="183"/>
    </row>
    <row r="163" spans="2:40">
      <c r="B163" s="181" t="s">
        <v>526</v>
      </c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3"/>
      <c r="AG163" s="183"/>
      <c r="AH163" s="183"/>
      <c r="AI163" s="183"/>
    </row>
    <row r="164" spans="2:40">
      <c r="B164" s="181" t="s">
        <v>527</v>
      </c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3"/>
      <c r="AG164" s="183"/>
      <c r="AH164" s="183"/>
      <c r="AI164" s="183"/>
    </row>
    <row r="165" spans="2:40">
      <c r="B165" s="181" t="s">
        <v>528</v>
      </c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3"/>
      <c r="AG165" s="183"/>
      <c r="AH165" s="183"/>
      <c r="AI165" s="183"/>
    </row>
    <row r="166" spans="2:40">
      <c r="B166" s="181" t="s">
        <v>83</v>
      </c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3"/>
      <c r="AG166" s="183"/>
      <c r="AH166" s="183"/>
      <c r="AI166" s="183"/>
    </row>
    <row r="167" spans="2:40">
      <c r="B167" s="181" t="s">
        <v>529</v>
      </c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3"/>
      <c r="AG167" s="183"/>
      <c r="AH167" s="183"/>
      <c r="AI167" s="183"/>
    </row>
    <row r="168" spans="2:40">
      <c r="B168" s="181" t="s">
        <v>20</v>
      </c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3"/>
      <c r="Z168" s="183"/>
      <c r="AA168" s="183"/>
      <c r="AB168" s="183"/>
      <c r="AC168" s="183"/>
      <c r="AD168" s="183"/>
      <c r="AE168" s="183"/>
      <c r="AF168" s="183"/>
      <c r="AG168" s="183"/>
      <c r="AH168" s="183"/>
      <c r="AI168" s="183"/>
    </row>
    <row r="169" spans="2:40">
      <c r="B169" s="181" t="s">
        <v>530</v>
      </c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  <c r="AG169" s="183"/>
      <c r="AH169" s="183"/>
      <c r="AI169" s="183"/>
    </row>
    <row r="171" spans="2:40">
      <c r="B171" s="180" t="s">
        <v>531</v>
      </c>
      <c r="C171" s="180">
        <v>1998</v>
      </c>
      <c r="D171" s="180">
        <v>1999</v>
      </c>
      <c r="E171" s="180">
        <v>2000</v>
      </c>
      <c r="F171" s="180">
        <v>2001</v>
      </c>
      <c r="G171" s="180">
        <v>2002</v>
      </c>
      <c r="H171" s="180">
        <v>2003</v>
      </c>
      <c r="I171" s="180">
        <v>2004</v>
      </c>
      <c r="J171" s="180">
        <v>2005</v>
      </c>
      <c r="K171" s="180">
        <v>2006</v>
      </c>
      <c r="L171" s="180">
        <v>2007</v>
      </c>
      <c r="M171" s="180">
        <v>2008</v>
      </c>
      <c r="N171" s="180">
        <v>2009</v>
      </c>
      <c r="O171" s="180">
        <v>2010</v>
      </c>
      <c r="P171" s="180">
        <v>2011</v>
      </c>
      <c r="Q171" s="180">
        <v>2012</v>
      </c>
      <c r="R171" s="180">
        <v>2013</v>
      </c>
      <c r="S171" s="180">
        <v>2014</v>
      </c>
      <c r="T171" s="180">
        <v>2015</v>
      </c>
      <c r="U171" s="180">
        <v>2016</v>
      </c>
      <c r="V171" s="180">
        <v>2017</v>
      </c>
      <c r="W171" s="180">
        <v>2018</v>
      </c>
      <c r="X171" s="180">
        <f>X155</f>
        <v>2019</v>
      </c>
      <c r="Y171" s="180">
        <v>2020</v>
      </c>
      <c r="Z171" s="180">
        <v>2020</v>
      </c>
      <c r="AA171" s="180">
        <v>2020</v>
      </c>
      <c r="AB171" s="180">
        <v>2020</v>
      </c>
      <c r="AC171" s="180">
        <v>2020</v>
      </c>
      <c r="AD171" s="180">
        <v>2020</v>
      </c>
      <c r="AE171" s="180">
        <v>2020</v>
      </c>
      <c r="AF171" s="180">
        <v>2027</v>
      </c>
      <c r="AG171" s="180">
        <v>2028</v>
      </c>
      <c r="AH171" s="180">
        <v>2029</v>
      </c>
      <c r="AI171" s="180">
        <v>2030</v>
      </c>
      <c r="AJ171" s="180">
        <v>2031</v>
      </c>
      <c r="AK171" s="180">
        <v>2032</v>
      </c>
      <c r="AL171" s="180">
        <v>2033</v>
      </c>
      <c r="AM171" s="180">
        <v>2034</v>
      </c>
      <c r="AN171" s="180">
        <v>2035</v>
      </c>
    </row>
    <row r="172" spans="2:40">
      <c r="B172" s="181" t="s">
        <v>532</v>
      </c>
      <c r="C172" s="197">
        <f>'Master old'!K381</f>
        <v>0.05</v>
      </c>
      <c r="D172" s="198"/>
      <c r="E172" s="198"/>
      <c r="F172" s="198"/>
      <c r="G172" s="198"/>
      <c r="H172" s="198"/>
      <c r="I172" s="198"/>
      <c r="J172" s="183"/>
      <c r="K172" s="183"/>
      <c r="L172" s="183"/>
      <c r="M172" s="183"/>
      <c r="N172" s="183"/>
      <c r="O172" s="183"/>
      <c r="P172" s="183"/>
      <c r="Q172" s="183"/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</row>
    <row r="173" spans="2:40">
      <c r="B173" s="181" t="s">
        <v>124</v>
      </c>
      <c r="C173" s="199">
        <v>0.17</v>
      </c>
      <c r="D173" s="200"/>
      <c r="E173" s="200"/>
      <c r="F173" s="200"/>
      <c r="G173" s="200"/>
      <c r="H173" s="200"/>
      <c r="I173" s="200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</row>
    <row r="174" spans="2:40">
      <c r="B174" s="181" t="s">
        <v>533</v>
      </c>
      <c r="C174" s="197">
        <f>'Master old'!K385*'Master old'!K386</f>
        <v>4.8000000000000001E-2</v>
      </c>
      <c r="D174" s="200"/>
      <c r="E174" s="200"/>
      <c r="F174" s="200"/>
      <c r="G174" s="200"/>
      <c r="H174" s="200"/>
      <c r="I174" s="200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</row>
    <row r="175" spans="2:40">
      <c r="B175" s="181" t="s">
        <v>534</v>
      </c>
      <c r="C175" s="197">
        <f>'Master old'!K382</f>
        <v>0.01</v>
      </c>
      <c r="D175" s="200"/>
      <c r="E175" s="200"/>
      <c r="F175" s="200"/>
      <c r="G175" s="200"/>
      <c r="H175" s="200"/>
      <c r="I175" s="200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</row>
    <row r="176" spans="2:40">
      <c r="B176" s="193" t="s">
        <v>535</v>
      </c>
      <c r="C176" s="201">
        <f>C172+C174</f>
        <v>9.8000000000000004E-2</v>
      </c>
      <c r="D176" s="200"/>
      <c r="E176" s="200"/>
      <c r="F176" s="200"/>
      <c r="G176" s="200"/>
      <c r="H176" s="200"/>
      <c r="I176" s="200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</row>
    <row r="177" spans="2:40">
      <c r="B177" s="193" t="s">
        <v>536</v>
      </c>
      <c r="C177" s="201">
        <f>(C172+C175)*(1-C173)</f>
        <v>4.9800000000000004E-2</v>
      </c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</row>
    <row r="178" spans="2:40"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</row>
    <row r="179" spans="2:40">
      <c r="B179" s="181" t="s">
        <v>537</v>
      </c>
      <c r="C179" s="197">
        <f>'Master old'!K388</f>
        <v>0.3</v>
      </c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</row>
    <row r="180" spans="2:40">
      <c r="B180" s="193" t="s">
        <v>538</v>
      </c>
      <c r="C180" s="201">
        <f>'Master old'!K389</f>
        <v>8.3539999999999989E-2</v>
      </c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</row>
    <row r="181" spans="2:40"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</row>
    <row r="182" spans="2:40">
      <c r="B182" s="181" t="s">
        <v>539</v>
      </c>
      <c r="C182" s="197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</row>
    <row r="183" spans="2:40"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</row>
    <row r="184" spans="2:40"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/>
      <c r="AM184" s="182"/>
      <c r="AN184" s="182"/>
    </row>
    <row r="185" spans="2:40"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</row>
    <row r="186" spans="2:40">
      <c r="C186" s="182" t="s">
        <v>1722</v>
      </c>
      <c r="D186" s="182" t="s">
        <v>1723</v>
      </c>
      <c r="E186" s="182" t="s">
        <v>1724</v>
      </c>
      <c r="F186" s="182"/>
      <c r="G186" s="182" t="s">
        <v>1722</v>
      </c>
      <c r="H186" s="182" t="s">
        <v>1723</v>
      </c>
      <c r="I186" s="182" t="s">
        <v>1724</v>
      </c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</row>
    <row r="187" spans="2:40">
      <c r="C187" s="182" t="s">
        <v>4</v>
      </c>
      <c r="D187" s="182" t="s">
        <v>4</v>
      </c>
      <c r="E187" s="182" t="s">
        <v>4</v>
      </c>
      <c r="F187" s="182"/>
      <c r="G187" s="182" t="s">
        <v>177</v>
      </c>
      <c r="H187" s="182" t="s">
        <v>177</v>
      </c>
      <c r="I187" s="182" t="s">
        <v>177</v>
      </c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</row>
    <row r="188" spans="2:40">
      <c r="B188" s="181" t="str">
        <f>B139</f>
        <v>Chile mobile</v>
      </c>
      <c r="C188" s="182">
        <f t="shared" ref="C188:E191" si="62">U139</f>
        <v>439898</v>
      </c>
      <c r="D188" s="182">
        <f t="shared" si="62"/>
        <v>414818</v>
      </c>
      <c r="E188" s="182">
        <f t="shared" si="62"/>
        <v>370706</v>
      </c>
      <c r="F188" s="182"/>
      <c r="G188" s="182">
        <f t="shared" ref="G188:I191" si="63">C188-U146</f>
        <v>439898</v>
      </c>
      <c r="H188" s="182">
        <f t="shared" si="63"/>
        <v>414818</v>
      </c>
      <c r="I188" s="182">
        <f t="shared" si="63"/>
        <v>370706</v>
      </c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</row>
    <row r="189" spans="2:40">
      <c r="B189" s="181" t="str">
        <f>B140</f>
        <v>Chile fixed</v>
      </c>
      <c r="C189" s="182">
        <f t="shared" si="62"/>
        <v>85884</v>
      </c>
      <c r="D189" s="182">
        <f t="shared" si="62"/>
        <v>90993</v>
      </c>
      <c r="E189" s="182">
        <f t="shared" si="62"/>
        <v>97749</v>
      </c>
      <c r="F189" s="182"/>
      <c r="G189" s="182">
        <f t="shared" si="63"/>
        <v>-58315.600000000006</v>
      </c>
      <c r="H189" s="182">
        <f t="shared" si="63"/>
        <v>-63811.399999999994</v>
      </c>
      <c r="I189" s="182">
        <f t="shared" si="63"/>
        <v>-75059.400000000023</v>
      </c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</row>
    <row r="190" spans="2:40">
      <c r="B190" s="181" t="str">
        <f>B141</f>
        <v>Peru</v>
      </c>
      <c r="C190" s="182">
        <f t="shared" si="62"/>
        <v>-116730</v>
      </c>
      <c r="D190" s="182">
        <f t="shared" si="62"/>
        <v>-73120</v>
      </c>
      <c r="E190" s="182">
        <f t="shared" si="62"/>
        <v>-49965</v>
      </c>
      <c r="F190" s="182"/>
      <c r="G190" s="182">
        <f t="shared" si="63"/>
        <v>-205613.86</v>
      </c>
      <c r="H190" s="182">
        <f t="shared" si="63"/>
        <v>-166114.97999999998</v>
      </c>
      <c r="I190" s="182">
        <f t="shared" si="63"/>
        <v>-146062.04</v>
      </c>
      <c r="J190" s="182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3"/>
      <c r="AG190" s="183"/>
      <c r="AH190" s="183"/>
      <c r="AI190" s="183"/>
      <c r="AJ190" s="183"/>
      <c r="AK190" s="183"/>
      <c r="AL190" s="183"/>
      <c r="AM190" s="183"/>
      <c r="AN190" s="183"/>
    </row>
    <row r="191" spans="2:40">
      <c r="B191" s="181" t="str">
        <f>B142</f>
        <v>Other</v>
      </c>
      <c r="C191" s="182">
        <f t="shared" si="62"/>
        <v>7229</v>
      </c>
      <c r="D191" s="182">
        <f t="shared" si="62"/>
        <v>7412</v>
      </c>
      <c r="E191" s="182">
        <f t="shared" si="62"/>
        <v>8431</v>
      </c>
      <c r="F191" s="182"/>
      <c r="G191" s="182">
        <f t="shared" si="63"/>
        <v>-102745.56214225786</v>
      </c>
      <c r="H191" s="182">
        <f t="shared" si="63"/>
        <v>-101620.6224128848</v>
      </c>
      <c r="I191" s="182">
        <f t="shared" ca="1" si="63"/>
        <v>-99768.94765888965</v>
      </c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</row>
    <row r="192" spans="2:40">
      <c r="B192" s="202"/>
      <c r="C192" s="203"/>
      <c r="D192" s="203"/>
      <c r="E192" s="203"/>
      <c r="F192" s="203"/>
      <c r="G192" s="204"/>
      <c r="H192" s="205"/>
      <c r="I192" s="205"/>
      <c r="J192" s="205"/>
      <c r="K192" s="205"/>
      <c r="L192" s="205"/>
      <c r="M192" s="205"/>
      <c r="N192" s="205"/>
      <c r="O192" s="205"/>
      <c r="P192" s="205"/>
      <c r="Q192" s="183"/>
      <c r="R192" s="183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</row>
    <row r="193" spans="2:40">
      <c r="B193" s="202"/>
      <c r="C193" s="203"/>
      <c r="D193" s="203"/>
      <c r="E193" s="203"/>
      <c r="F193" s="203"/>
      <c r="G193" s="204"/>
      <c r="H193" s="205"/>
      <c r="I193" s="205"/>
      <c r="J193" s="205"/>
      <c r="K193" s="205"/>
      <c r="L193" s="205"/>
      <c r="M193" s="205"/>
      <c r="N193" s="205"/>
      <c r="O193" s="205"/>
      <c r="P193" s="205"/>
      <c r="Q193" s="183"/>
      <c r="R193" s="183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</row>
    <row r="194" spans="2:40">
      <c r="B194" s="202"/>
      <c r="C194" s="203"/>
      <c r="D194" s="203"/>
      <c r="E194" s="203"/>
      <c r="F194" s="203"/>
      <c r="G194" s="204"/>
      <c r="H194" s="205"/>
      <c r="I194" s="205"/>
      <c r="J194" s="205"/>
      <c r="K194" s="205"/>
      <c r="L194" s="205"/>
      <c r="M194" s="205"/>
      <c r="N194" s="205"/>
      <c r="O194" s="205"/>
      <c r="P194" s="205"/>
      <c r="Q194" s="183"/>
      <c r="R194" s="183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3"/>
      <c r="AG194" s="183"/>
      <c r="AH194" s="183"/>
      <c r="AI194" s="183"/>
      <c r="AJ194" s="183"/>
      <c r="AK194" s="183"/>
      <c r="AL194" s="183"/>
      <c r="AM194" s="183"/>
      <c r="AN194" s="183"/>
    </row>
    <row r="195" spans="2:40">
      <c r="B195" s="202"/>
      <c r="C195" s="203"/>
      <c r="D195" s="203"/>
      <c r="E195" s="203"/>
      <c r="F195" s="203"/>
      <c r="G195" s="204"/>
      <c r="H195" s="205"/>
      <c r="I195" s="205"/>
      <c r="J195" s="205"/>
      <c r="K195" s="205"/>
      <c r="L195" s="205"/>
      <c r="M195" s="205"/>
      <c r="N195" s="205"/>
      <c r="O195" s="205"/>
      <c r="P195" s="205"/>
      <c r="Q195" s="183"/>
      <c r="R195" s="183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3"/>
      <c r="AG195" s="183"/>
      <c r="AH195" s="183"/>
      <c r="AI195" s="183"/>
      <c r="AJ195" s="183"/>
      <c r="AK195" s="183"/>
      <c r="AL195" s="183"/>
      <c r="AM195" s="183"/>
      <c r="AN195" s="183"/>
    </row>
    <row r="196" spans="2:40">
      <c r="B196" s="202"/>
      <c r="C196" s="203"/>
      <c r="D196" s="203"/>
      <c r="E196" s="203"/>
      <c r="F196" s="203"/>
      <c r="G196" s="204"/>
      <c r="H196" s="205"/>
      <c r="I196" s="205"/>
      <c r="J196" s="205"/>
      <c r="K196" s="205"/>
      <c r="L196" s="205"/>
      <c r="M196" s="205"/>
      <c r="N196" s="205"/>
      <c r="O196" s="205"/>
      <c r="P196" s="205"/>
      <c r="Q196" s="183"/>
      <c r="R196" s="183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3"/>
      <c r="AG196" s="183"/>
      <c r="AH196" s="183"/>
      <c r="AI196" s="183"/>
      <c r="AJ196" s="183"/>
      <c r="AK196" s="183"/>
      <c r="AL196" s="183"/>
      <c r="AM196" s="183"/>
      <c r="AN196" s="183"/>
    </row>
    <row r="197" spans="2:40">
      <c r="C197" s="183"/>
      <c r="D197" s="183"/>
      <c r="E197" s="183"/>
      <c r="F197" s="183"/>
      <c r="G197" s="183"/>
      <c r="H197" s="205"/>
      <c r="I197" s="205"/>
      <c r="J197" s="205"/>
      <c r="K197" s="205"/>
      <c r="L197" s="205"/>
      <c r="M197" s="205"/>
      <c r="N197" s="205"/>
      <c r="O197" s="205"/>
      <c r="P197" s="205"/>
      <c r="Q197" s="183"/>
      <c r="R197" s="183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</row>
    <row r="198" spans="2:40">
      <c r="C198" s="183"/>
      <c r="D198" s="183"/>
      <c r="E198" s="183"/>
      <c r="F198" s="183"/>
      <c r="G198" s="183"/>
      <c r="H198" s="205"/>
      <c r="I198" s="205"/>
      <c r="J198" s="205"/>
      <c r="K198" s="205"/>
      <c r="L198" s="205"/>
      <c r="M198" s="205"/>
      <c r="N198" s="205"/>
      <c r="O198" s="205"/>
      <c r="P198" s="205"/>
      <c r="Q198" s="183"/>
      <c r="R198" s="183"/>
      <c r="S198" s="183"/>
      <c r="T198" s="183"/>
      <c r="U198" s="183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</row>
    <row r="199" spans="2:40">
      <c r="C199" s="183"/>
      <c r="D199" s="183"/>
      <c r="E199" s="183"/>
      <c r="F199" s="183"/>
      <c r="G199" s="183"/>
      <c r="H199" s="205"/>
      <c r="I199" s="205"/>
      <c r="J199" s="205"/>
      <c r="K199" s="205"/>
      <c r="L199" s="205"/>
      <c r="M199" s="205"/>
      <c r="N199" s="205"/>
      <c r="O199" s="205"/>
      <c r="P199" s="205"/>
      <c r="Q199" s="183"/>
      <c r="R199" s="183"/>
      <c r="S199" s="183"/>
      <c r="T199" s="183"/>
      <c r="U199" s="183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</row>
    <row r="200" spans="2:40">
      <c r="B200" s="193"/>
      <c r="C200" s="205"/>
      <c r="D200" s="205"/>
      <c r="E200" s="205"/>
      <c r="F200" s="205"/>
      <c r="G200" s="205"/>
      <c r="H200" s="205"/>
      <c r="I200" s="205"/>
      <c r="J200" s="205"/>
      <c r="K200" s="205"/>
      <c r="L200" s="205"/>
      <c r="M200" s="205"/>
      <c r="N200" s="205"/>
      <c r="O200" s="205"/>
      <c r="P200" s="205"/>
      <c r="Q200" s="205"/>
      <c r="R200" s="205"/>
      <c r="S200" s="205"/>
      <c r="T200" s="205"/>
      <c r="U200" s="205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3"/>
      <c r="AG200" s="183"/>
      <c r="AH200" s="183"/>
      <c r="AI200" s="183"/>
      <c r="AJ200" s="183"/>
      <c r="AK200" s="183"/>
      <c r="AL200" s="183"/>
      <c r="AM200" s="183"/>
      <c r="AN200" s="183"/>
    </row>
    <row r="201" spans="2:40">
      <c r="C201" s="205"/>
      <c r="D201" s="205"/>
      <c r="E201" s="205"/>
      <c r="F201" s="205"/>
      <c r="G201" s="205"/>
      <c r="H201" s="205"/>
      <c r="I201" s="205"/>
      <c r="J201" s="205"/>
      <c r="K201" s="205"/>
      <c r="L201" s="205"/>
      <c r="M201" s="205"/>
      <c r="N201" s="205"/>
      <c r="O201" s="205"/>
      <c r="P201" s="205"/>
      <c r="Q201" s="205"/>
      <c r="R201" s="205"/>
      <c r="S201" s="205"/>
      <c r="T201" s="205"/>
      <c r="U201" s="205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  <c r="AG201" s="183"/>
      <c r="AH201" s="183"/>
      <c r="AI201" s="183"/>
      <c r="AJ201" s="183"/>
      <c r="AK201" s="183"/>
      <c r="AL201" s="183"/>
      <c r="AM201" s="183"/>
      <c r="AN201" s="183"/>
    </row>
    <row r="202" spans="2:40">
      <c r="C202" s="205"/>
      <c r="D202" s="205"/>
      <c r="E202" s="205"/>
      <c r="F202" s="205"/>
      <c r="G202" s="205"/>
      <c r="H202" s="205"/>
      <c r="I202" s="205"/>
      <c r="J202" s="205"/>
      <c r="K202" s="205"/>
      <c r="L202" s="205"/>
      <c r="M202" s="205"/>
      <c r="N202" s="205"/>
      <c r="O202" s="205"/>
      <c r="P202" s="205"/>
      <c r="Q202" s="205"/>
      <c r="R202" s="205"/>
      <c r="S202" s="205"/>
      <c r="T202" s="205"/>
      <c r="U202" s="205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  <c r="AF202" s="183"/>
      <c r="AG202" s="183"/>
      <c r="AH202" s="183"/>
      <c r="AI202" s="183"/>
      <c r="AJ202" s="183"/>
      <c r="AK202" s="183"/>
      <c r="AL202" s="183"/>
      <c r="AM202" s="183"/>
      <c r="AN202" s="183"/>
    </row>
    <row r="203" spans="2:40">
      <c r="C203" s="205"/>
      <c r="D203" s="205"/>
      <c r="E203" s="205"/>
      <c r="F203" s="205"/>
      <c r="G203" s="205"/>
      <c r="H203" s="205"/>
      <c r="I203" s="205"/>
      <c r="J203" s="205"/>
      <c r="K203" s="205"/>
      <c r="L203" s="205"/>
      <c r="M203" s="205"/>
      <c r="N203" s="205"/>
      <c r="O203" s="205"/>
      <c r="P203" s="205"/>
      <c r="Q203" s="205"/>
      <c r="R203" s="205"/>
      <c r="S203" s="205"/>
      <c r="T203" s="205"/>
      <c r="U203" s="205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  <c r="AF203" s="183"/>
      <c r="AG203" s="183"/>
      <c r="AH203" s="183"/>
      <c r="AI203" s="183"/>
      <c r="AJ203" s="183"/>
      <c r="AK203" s="183"/>
      <c r="AL203" s="183"/>
      <c r="AM203" s="183"/>
      <c r="AN203" s="183"/>
    </row>
    <row r="204" spans="2:40">
      <c r="C204" s="205"/>
      <c r="D204" s="205"/>
      <c r="E204" s="205"/>
      <c r="F204" s="205"/>
      <c r="G204" s="205"/>
      <c r="H204" s="205"/>
      <c r="I204" s="205"/>
      <c r="J204" s="205"/>
      <c r="K204" s="205"/>
      <c r="L204" s="205"/>
      <c r="M204" s="205"/>
      <c r="N204" s="205"/>
      <c r="O204" s="205"/>
      <c r="P204" s="205"/>
      <c r="Q204" s="205"/>
      <c r="R204" s="205"/>
      <c r="S204" s="205"/>
      <c r="T204" s="205"/>
      <c r="U204" s="205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</row>
    <row r="205" spans="2:40">
      <c r="C205" s="205"/>
      <c r="D205" s="205"/>
      <c r="E205" s="205"/>
      <c r="F205" s="205"/>
      <c r="G205" s="205"/>
      <c r="H205" s="205"/>
      <c r="I205" s="205"/>
      <c r="J205" s="205"/>
      <c r="K205" s="205"/>
      <c r="L205" s="205"/>
      <c r="M205" s="205"/>
      <c r="N205" s="205"/>
      <c r="O205" s="205"/>
      <c r="P205" s="205"/>
      <c r="Q205" s="205"/>
      <c r="R205" s="205"/>
      <c r="S205" s="205"/>
      <c r="T205" s="205"/>
      <c r="U205" s="205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</row>
    <row r="206" spans="2:40">
      <c r="C206" s="205"/>
      <c r="D206" s="205"/>
      <c r="E206" s="205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</row>
    <row r="207" spans="2:40">
      <c r="C207" s="205"/>
      <c r="D207" s="205"/>
      <c r="E207" s="205"/>
      <c r="F207" s="205"/>
      <c r="G207" s="205"/>
      <c r="H207" s="205"/>
      <c r="I207" s="205"/>
      <c r="J207" s="205"/>
      <c r="K207" s="205"/>
      <c r="L207" s="205"/>
      <c r="M207" s="205"/>
      <c r="N207" s="205"/>
      <c r="O207" s="205"/>
      <c r="P207" s="205"/>
      <c r="Q207" s="205"/>
      <c r="R207" s="205"/>
      <c r="S207" s="205"/>
      <c r="T207" s="205"/>
      <c r="U207" s="205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</row>
    <row r="208" spans="2:40">
      <c r="C208" s="205"/>
      <c r="D208" s="205"/>
      <c r="E208" s="205"/>
      <c r="F208" s="205"/>
      <c r="G208" s="205"/>
      <c r="H208" s="205"/>
      <c r="I208" s="205"/>
      <c r="J208" s="205"/>
      <c r="K208" s="205"/>
      <c r="L208" s="205"/>
      <c r="M208" s="205"/>
      <c r="N208" s="205"/>
      <c r="O208" s="205"/>
      <c r="P208" s="205"/>
      <c r="Q208" s="205"/>
      <c r="R208" s="205"/>
      <c r="S208" s="205"/>
      <c r="T208" s="205"/>
      <c r="U208" s="205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</row>
    <row r="209" spans="2:44">
      <c r="B209" s="193"/>
      <c r="C209" s="203"/>
      <c r="D209" s="203"/>
      <c r="E209" s="203"/>
      <c r="F209" s="203"/>
      <c r="G209" s="203"/>
      <c r="H209" s="203"/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  <c r="U209" s="20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</row>
    <row r="210" spans="2:44">
      <c r="B210" s="202"/>
      <c r="C210" s="182"/>
      <c r="D210" s="182"/>
      <c r="E210" s="182"/>
      <c r="F210" s="182"/>
      <c r="G210" s="182"/>
      <c r="H210" s="205"/>
      <c r="I210" s="205"/>
      <c r="J210" s="205"/>
      <c r="K210" s="205"/>
      <c r="L210" s="205"/>
      <c r="M210" s="205"/>
      <c r="N210" s="205"/>
      <c r="O210" s="205"/>
      <c r="P210" s="205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</row>
    <row r="211" spans="2:44">
      <c r="B211" s="202"/>
      <c r="C211" s="182"/>
      <c r="D211" s="182"/>
      <c r="E211" s="182"/>
      <c r="F211" s="182"/>
      <c r="G211" s="182"/>
      <c r="H211" s="205"/>
      <c r="I211" s="205"/>
      <c r="J211" s="205"/>
      <c r="K211" s="205"/>
      <c r="L211" s="205"/>
      <c r="M211" s="205"/>
      <c r="N211" s="205"/>
      <c r="O211" s="205"/>
      <c r="P211" s="205"/>
      <c r="Q211" s="183"/>
      <c r="R211" s="183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</row>
    <row r="212" spans="2:44">
      <c r="B212" s="202"/>
      <c r="C212" s="183"/>
      <c r="D212" s="183"/>
      <c r="E212" s="183"/>
      <c r="F212" s="183"/>
      <c r="G212" s="183"/>
      <c r="H212" s="205"/>
      <c r="I212" s="205"/>
      <c r="J212" s="205"/>
      <c r="K212" s="205"/>
      <c r="L212" s="205"/>
      <c r="M212" s="205"/>
      <c r="N212" s="205"/>
      <c r="O212" s="205"/>
      <c r="P212" s="205"/>
      <c r="Q212" s="183"/>
      <c r="R212" s="183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</row>
    <row r="213" spans="2:44">
      <c r="B213" s="202"/>
      <c r="C213" s="183"/>
      <c r="D213" s="183"/>
      <c r="E213" s="183"/>
      <c r="F213" s="183"/>
      <c r="G213" s="183"/>
      <c r="H213" s="205"/>
      <c r="I213" s="205"/>
      <c r="J213" s="205"/>
      <c r="K213" s="205"/>
      <c r="L213" s="205"/>
      <c r="M213" s="205"/>
      <c r="N213" s="205"/>
      <c r="O213" s="205"/>
      <c r="P213" s="205"/>
      <c r="Q213" s="183"/>
      <c r="R213" s="183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  <c r="AG213" s="183"/>
      <c r="AH213" s="183"/>
      <c r="AI213" s="183"/>
      <c r="AJ213" s="183"/>
      <c r="AK213" s="183"/>
      <c r="AL213" s="183"/>
      <c r="AM213" s="183"/>
      <c r="AN213" s="183"/>
    </row>
    <row r="214" spans="2:44">
      <c r="B214" s="202"/>
      <c r="C214" s="183"/>
      <c r="D214" s="183"/>
      <c r="E214" s="183"/>
      <c r="F214" s="183"/>
      <c r="G214" s="183"/>
      <c r="H214" s="205"/>
      <c r="I214" s="205"/>
      <c r="J214" s="205"/>
      <c r="K214" s="205"/>
      <c r="L214" s="205"/>
      <c r="M214" s="205"/>
      <c r="N214" s="205"/>
      <c r="O214" s="205"/>
      <c r="P214" s="205"/>
      <c r="Q214" s="183"/>
      <c r="R214" s="183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  <c r="AG214" s="183"/>
      <c r="AH214" s="183"/>
      <c r="AI214" s="183"/>
      <c r="AJ214" s="183"/>
      <c r="AK214" s="183"/>
      <c r="AL214" s="183"/>
      <c r="AM214" s="183"/>
      <c r="AN214" s="183"/>
    </row>
    <row r="215" spans="2:44">
      <c r="B215" s="202"/>
      <c r="C215" s="183"/>
      <c r="D215" s="183"/>
      <c r="E215" s="183"/>
      <c r="F215" s="183"/>
      <c r="G215" s="205"/>
      <c r="H215" s="205"/>
      <c r="I215" s="205"/>
      <c r="J215" s="205"/>
      <c r="K215" s="205"/>
      <c r="L215" s="205"/>
      <c r="M215" s="205"/>
      <c r="N215" s="205"/>
      <c r="O215" s="205"/>
      <c r="P215" s="205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  <c r="AG215" s="183"/>
      <c r="AH215" s="183"/>
      <c r="AI215" s="183"/>
      <c r="AJ215" s="183"/>
      <c r="AK215" s="183"/>
      <c r="AL215" s="183"/>
      <c r="AM215" s="183"/>
      <c r="AN215" s="183"/>
    </row>
    <row r="216" spans="2:44">
      <c r="C216" s="183"/>
      <c r="D216" s="183"/>
      <c r="E216" s="183"/>
      <c r="F216" s="183"/>
      <c r="G216" s="205"/>
      <c r="H216" s="205"/>
      <c r="I216" s="205"/>
      <c r="J216" s="205"/>
      <c r="K216" s="205"/>
      <c r="L216" s="205"/>
      <c r="M216" s="205"/>
      <c r="N216" s="205"/>
      <c r="O216" s="205"/>
      <c r="P216" s="205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3"/>
      <c r="AG216" s="183"/>
      <c r="AH216" s="183"/>
      <c r="AI216" s="183"/>
      <c r="AJ216" s="183"/>
      <c r="AK216" s="183"/>
      <c r="AL216" s="183"/>
      <c r="AM216" s="183"/>
      <c r="AN216" s="183"/>
    </row>
    <row r="217" spans="2:44">
      <c r="C217" s="183"/>
      <c r="D217" s="183"/>
      <c r="E217" s="183"/>
      <c r="F217" s="183"/>
      <c r="G217" s="205"/>
      <c r="H217" s="205"/>
      <c r="I217" s="205"/>
      <c r="J217" s="205"/>
      <c r="K217" s="205"/>
      <c r="L217" s="205"/>
      <c r="M217" s="205"/>
      <c r="N217" s="205"/>
      <c r="O217" s="205"/>
      <c r="P217" s="205"/>
      <c r="Q217" s="183"/>
      <c r="R217" s="183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3"/>
      <c r="AG217" s="183"/>
      <c r="AH217" s="183"/>
      <c r="AI217" s="183"/>
      <c r="AJ217" s="183"/>
      <c r="AK217" s="183"/>
      <c r="AL217" s="183"/>
      <c r="AM217" s="183"/>
      <c r="AN217" s="183"/>
    </row>
    <row r="218" spans="2:44">
      <c r="C218" s="183"/>
      <c r="D218" s="183"/>
      <c r="E218" s="183"/>
      <c r="F218" s="183"/>
      <c r="G218" s="183"/>
      <c r="H218" s="205"/>
      <c r="I218" s="205"/>
      <c r="J218" s="205"/>
      <c r="K218" s="205"/>
      <c r="L218" s="205"/>
      <c r="M218" s="205"/>
      <c r="N218" s="205"/>
      <c r="O218" s="205"/>
      <c r="P218" s="205"/>
      <c r="Q218" s="183"/>
      <c r="R218" s="183"/>
      <c r="S218" s="183"/>
      <c r="T218" s="183"/>
      <c r="U218" s="183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  <c r="AG218" s="183"/>
      <c r="AH218" s="183"/>
      <c r="AI218" s="183"/>
      <c r="AJ218" s="183"/>
      <c r="AK218" s="183"/>
      <c r="AL218" s="183"/>
      <c r="AM218" s="183"/>
      <c r="AN218" s="183"/>
    </row>
    <row r="219" spans="2:44">
      <c r="B219" s="193"/>
      <c r="C219" s="183"/>
      <c r="D219" s="183"/>
      <c r="E219" s="183"/>
      <c r="F219" s="183"/>
      <c r="G219" s="183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  <c r="AG219" s="183"/>
      <c r="AH219" s="183"/>
      <c r="AI219" s="183"/>
      <c r="AJ219" s="183"/>
      <c r="AK219" s="183"/>
      <c r="AL219" s="183"/>
      <c r="AM219" s="183"/>
      <c r="AN219" s="183"/>
    </row>
    <row r="220" spans="2:44">
      <c r="B220" s="206"/>
      <c r="C220" s="206"/>
      <c r="D220" s="206"/>
      <c r="E220" s="206"/>
      <c r="F220" s="206"/>
      <c r="G220" s="206"/>
      <c r="H220" s="206"/>
      <c r="I220" s="206"/>
      <c r="J220" s="206"/>
      <c r="K220" s="206"/>
      <c r="L220" s="206"/>
      <c r="M220" s="206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206"/>
      <c r="Y220" s="206"/>
      <c r="Z220" s="206"/>
      <c r="AA220" s="206"/>
      <c r="AB220" s="206"/>
      <c r="AC220" s="206"/>
      <c r="AD220" s="206"/>
      <c r="AE220" s="206"/>
      <c r="AF220" s="206"/>
      <c r="AG220" s="206"/>
      <c r="AH220" s="206"/>
      <c r="AI220" s="206"/>
      <c r="AJ220" s="206"/>
      <c r="AK220" s="206"/>
      <c r="AL220" s="206"/>
      <c r="AM220" s="206"/>
      <c r="AN220" s="206"/>
      <c r="AO220" s="206"/>
      <c r="AP220" s="206"/>
      <c r="AQ220" s="206"/>
      <c r="AR220" s="206"/>
    </row>
    <row r="221" spans="2:44">
      <c r="B221" s="207" t="s">
        <v>540</v>
      </c>
      <c r="C221" s="207">
        <v>1998</v>
      </c>
      <c r="D221" s="207">
        <v>1999</v>
      </c>
      <c r="E221" s="207">
        <v>2000</v>
      </c>
      <c r="F221" s="207">
        <v>2001</v>
      </c>
      <c r="G221" s="207">
        <v>2002</v>
      </c>
      <c r="H221" s="207">
        <v>2003</v>
      </c>
      <c r="I221" s="207">
        <v>2004</v>
      </c>
      <c r="J221" s="207">
        <v>2005</v>
      </c>
      <c r="K221" s="207">
        <v>2006</v>
      </c>
      <c r="L221" s="207">
        <v>2007</v>
      </c>
      <c r="M221" s="207">
        <v>2008</v>
      </c>
      <c r="N221" s="207">
        <v>2009</v>
      </c>
      <c r="O221" s="207">
        <v>2010</v>
      </c>
      <c r="P221" s="207">
        <v>2011</v>
      </c>
      <c r="Q221" s="207">
        <v>2012</v>
      </c>
      <c r="R221" s="207">
        <v>2013</v>
      </c>
      <c r="S221" s="207">
        <v>2014</v>
      </c>
      <c r="T221" s="207">
        <v>2015</v>
      </c>
      <c r="U221" s="207">
        <v>2016</v>
      </c>
      <c r="V221" s="207">
        <v>2017</v>
      </c>
      <c r="W221" s="207">
        <v>2018</v>
      </c>
      <c r="X221" s="207">
        <f>X171</f>
        <v>2019</v>
      </c>
      <c r="Y221" s="207">
        <v>2020</v>
      </c>
      <c r="Z221" s="207">
        <v>2020</v>
      </c>
      <c r="AA221" s="207">
        <v>2020</v>
      </c>
      <c r="AB221" s="207">
        <v>2020</v>
      </c>
      <c r="AC221" s="207">
        <v>2020</v>
      </c>
      <c r="AD221" s="207">
        <v>2020</v>
      </c>
      <c r="AE221" s="207">
        <v>2020</v>
      </c>
      <c r="AF221" s="207">
        <v>2027</v>
      </c>
      <c r="AG221" s="207">
        <v>2028</v>
      </c>
      <c r="AH221" s="207">
        <v>2029</v>
      </c>
      <c r="AI221" s="207">
        <v>2030</v>
      </c>
      <c r="AJ221" s="207">
        <v>2031</v>
      </c>
      <c r="AK221" s="207">
        <v>2032</v>
      </c>
      <c r="AL221" s="207">
        <v>2033</v>
      </c>
      <c r="AM221" s="207">
        <v>2034</v>
      </c>
      <c r="AN221" s="207">
        <v>2035</v>
      </c>
      <c r="AO221" s="206"/>
      <c r="AP221" s="206"/>
      <c r="AQ221" s="206"/>
      <c r="AR221" s="206"/>
    </row>
    <row r="222" spans="2:44">
      <c r="B222" s="208"/>
      <c r="C222" s="209"/>
      <c r="D222" s="209"/>
      <c r="E222" s="209"/>
      <c r="F222" s="209"/>
      <c r="G222" s="209"/>
      <c r="H222" s="209"/>
      <c r="I222" s="209"/>
      <c r="J222" s="209"/>
      <c r="K222" s="209"/>
      <c r="L222" s="209"/>
      <c r="M222" s="209"/>
      <c r="N222" s="209"/>
      <c r="O222" s="209"/>
      <c r="P222" s="209"/>
      <c r="Q222" s="209"/>
      <c r="R222" s="209"/>
      <c r="S222" s="209"/>
      <c r="T222" s="209"/>
      <c r="U222" s="209"/>
      <c r="V222" s="209"/>
      <c r="W222" s="209"/>
      <c r="X222" s="209"/>
      <c r="Y222" s="209"/>
      <c r="Z222" s="209"/>
      <c r="AA222" s="209"/>
      <c r="AB222" s="209"/>
      <c r="AC222" s="209"/>
      <c r="AD222" s="209"/>
      <c r="AE222" s="209"/>
      <c r="AF222" s="209"/>
      <c r="AG222" s="209"/>
      <c r="AH222" s="209"/>
      <c r="AI222" s="209"/>
      <c r="AJ222" s="209"/>
      <c r="AK222" s="209"/>
      <c r="AL222" s="209"/>
      <c r="AM222" s="209"/>
      <c r="AN222" s="209"/>
      <c r="AO222" s="206"/>
      <c r="AP222" s="206"/>
      <c r="AQ222" s="206"/>
      <c r="AR222" s="206"/>
    </row>
    <row r="223" spans="2:44">
      <c r="B223" s="210"/>
      <c r="C223" s="209"/>
      <c r="D223" s="209"/>
      <c r="E223" s="209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211"/>
      <c r="W223" s="211"/>
      <c r="X223" s="211"/>
      <c r="Y223" s="211"/>
      <c r="Z223" s="211"/>
      <c r="AA223" s="211"/>
      <c r="AB223" s="211"/>
      <c r="AC223" s="211"/>
      <c r="AD223" s="211"/>
      <c r="AE223" s="211"/>
      <c r="AF223" s="209"/>
      <c r="AG223" s="209"/>
      <c r="AH223" s="209"/>
      <c r="AI223" s="209"/>
      <c r="AJ223" s="209"/>
      <c r="AK223" s="209"/>
      <c r="AL223" s="209"/>
      <c r="AM223" s="209"/>
      <c r="AN223" s="209"/>
      <c r="AO223" s="206"/>
      <c r="AP223" s="206"/>
      <c r="AQ223" s="206"/>
      <c r="AR223" s="206"/>
    </row>
    <row r="224" spans="2:44">
      <c r="B224" s="210"/>
      <c r="C224" s="209"/>
      <c r="D224" s="209"/>
      <c r="E224" s="209"/>
      <c r="F224" s="211"/>
      <c r="G224" s="211"/>
      <c r="H224" s="211"/>
      <c r="I224" s="211"/>
      <c r="J224" s="211"/>
      <c r="K224" s="211"/>
      <c r="L224" s="211"/>
      <c r="M224" s="211"/>
      <c r="N224" s="211"/>
      <c r="O224" s="211"/>
      <c r="P224" s="211"/>
      <c r="Q224" s="211"/>
      <c r="R224" s="211"/>
      <c r="S224" s="211"/>
      <c r="T224" s="211"/>
      <c r="U224" s="211"/>
      <c r="V224" s="211"/>
      <c r="W224" s="211"/>
      <c r="X224" s="211"/>
      <c r="Y224" s="211"/>
      <c r="Z224" s="211"/>
      <c r="AA224" s="211"/>
      <c r="AB224" s="211"/>
      <c r="AC224" s="211"/>
      <c r="AD224" s="211"/>
      <c r="AE224" s="211"/>
      <c r="AF224" s="209"/>
      <c r="AG224" s="209"/>
      <c r="AH224" s="209"/>
      <c r="AI224" s="209"/>
      <c r="AJ224" s="209"/>
      <c r="AK224" s="209"/>
      <c r="AL224" s="209"/>
      <c r="AM224" s="209"/>
      <c r="AN224" s="209"/>
      <c r="AO224" s="206"/>
      <c r="AP224" s="206"/>
      <c r="AQ224" s="206"/>
      <c r="AR224" s="206"/>
    </row>
    <row r="225" spans="2:44">
      <c r="B225" s="210"/>
      <c r="C225" s="212"/>
      <c r="D225" s="212"/>
      <c r="E225" s="212"/>
      <c r="F225" s="212"/>
      <c r="G225" s="212"/>
      <c r="H225" s="212"/>
      <c r="I225" s="212"/>
      <c r="J225" s="212"/>
      <c r="K225" s="212"/>
      <c r="L225" s="212"/>
      <c r="M225" s="212"/>
      <c r="N225" s="212"/>
      <c r="O225" s="212"/>
      <c r="P225" s="212"/>
      <c r="Q225" s="212"/>
      <c r="R225" s="212"/>
      <c r="S225" s="212"/>
      <c r="T225" s="212"/>
      <c r="U225" s="212"/>
      <c r="V225" s="212"/>
      <c r="W225" s="212"/>
      <c r="X225" s="212"/>
      <c r="Y225" s="212"/>
      <c r="Z225" s="212"/>
      <c r="AA225" s="212"/>
      <c r="AB225" s="212"/>
      <c r="AC225" s="212"/>
      <c r="AD225" s="212"/>
      <c r="AE225" s="212"/>
      <c r="AF225" s="209"/>
      <c r="AG225" s="209"/>
      <c r="AH225" s="209"/>
      <c r="AI225" s="209"/>
      <c r="AJ225" s="209"/>
      <c r="AK225" s="209"/>
      <c r="AL225" s="209"/>
      <c r="AM225" s="209"/>
      <c r="AN225" s="209"/>
      <c r="AO225" s="206"/>
      <c r="AP225" s="206"/>
      <c r="AQ225" s="206"/>
      <c r="AR225" s="206"/>
    </row>
    <row r="226" spans="2:44">
      <c r="B226" s="210"/>
      <c r="C226" s="213"/>
      <c r="D226" s="213"/>
      <c r="E226" s="213"/>
      <c r="F226" s="211"/>
      <c r="G226" s="211"/>
      <c r="H226" s="211"/>
      <c r="I226" s="211"/>
      <c r="J226" s="211"/>
      <c r="K226" s="211"/>
      <c r="L226" s="211"/>
      <c r="M226" s="211"/>
      <c r="N226" s="211"/>
      <c r="O226" s="211"/>
      <c r="P226" s="211"/>
      <c r="Q226" s="211"/>
      <c r="R226" s="211"/>
      <c r="S226" s="211"/>
      <c r="T226" s="211"/>
      <c r="U226" s="211"/>
      <c r="V226" s="211"/>
      <c r="W226" s="211"/>
      <c r="X226" s="211"/>
      <c r="Y226" s="211"/>
      <c r="Z226" s="211"/>
      <c r="AA226" s="211"/>
      <c r="AB226" s="211"/>
      <c r="AC226" s="211"/>
      <c r="AD226" s="211"/>
      <c r="AE226" s="211"/>
      <c r="AF226" s="209"/>
      <c r="AG226" s="209"/>
      <c r="AH226" s="209"/>
      <c r="AI226" s="209"/>
      <c r="AJ226" s="209"/>
      <c r="AK226" s="209"/>
      <c r="AL226" s="209"/>
      <c r="AM226" s="209"/>
      <c r="AN226" s="209"/>
      <c r="AO226" s="206"/>
      <c r="AP226" s="206"/>
      <c r="AQ226" s="206"/>
      <c r="AR226" s="206"/>
    </row>
    <row r="227" spans="2:44">
      <c r="B227" s="210"/>
      <c r="C227" s="213"/>
      <c r="D227" s="213"/>
      <c r="E227" s="213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211"/>
      <c r="W227" s="211"/>
      <c r="X227" s="211"/>
      <c r="Y227" s="211"/>
      <c r="Z227" s="211"/>
      <c r="AA227" s="211"/>
      <c r="AB227" s="211"/>
      <c r="AC227" s="211"/>
      <c r="AD227" s="211"/>
      <c r="AE227" s="211"/>
      <c r="AF227" s="209"/>
      <c r="AG227" s="209"/>
      <c r="AH227" s="209"/>
      <c r="AI227" s="209"/>
      <c r="AJ227" s="209"/>
      <c r="AK227" s="209"/>
      <c r="AL227" s="209"/>
      <c r="AM227" s="209"/>
      <c r="AN227" s="209"/>
      <c r="AO227" s="206"/>
      <c r="AP227" s="206"/>
      <c r="AQ227" s="206"/>
      <c r="AR227" s="206"/>
    </row>
    <row r="228" spans="2:44">
      <c r="B228" s="210"/>
      <c r="C228" s="213"/>
      <c r="D228" s="213"/>
      <c r="E228" s="213"/>
      <c r="F228" s="211"/>
      <c r="G228" s="211"/>
      <c r="H228" s="211"/>
      <c r="I228" s="211"/>
      <c r="J228" s="211"/>
      <c r="K228" s="211"/>
      <c r="L228" s="211"/>
      <c r="M228" s="211"/>
      <c r="N228" s="211"/>
      <c r="O228" s="211"/>
      <c r="P228" s="211"/>
      <c r="Q228" s="211"/>
      <c r="R228" s="211"/>
      <c r="S228" s="211"/>
      <c r="T228" s="211"/>
      <c r="U228" s="211"/>
      <c r="V228" s="211"/>
      <c r="W228" s="211"/>
      <c r="X228" s="211"/>
      <c r="Y228" s="211"/>
      <c r="Z228" s="211"/>
      <c r="AA228" s="211"/>
      <c r="AB228" s="211"/>
      <c r="AC228" s="211"/>
      <c r="AD228" s="211"/>
      <c r="AE228" s="211"/>
      <c r="AF228" s="209"/>
      <c r="AG228" s="209"/>
      <c r="AH228" s="209"/>
      <c r="AI228" s="209"/>
      <c r="AJ228" s="209"/>
      <c r="AK228" s="209"/>
      <c r="AL228" s="209"/>
      <c r="AM228" s="209"/>
      <c r="AN228" s="209"/>
      <c r="AO228" s="206"/>
      <c r="AP228" s="206"/>
      <c r="AQ228" s="206"/>
      <c r="AR228" s="206"/>
    </row>
    <row r="229" spans="2:44">
      <c r="B229" s="210"/>
      <c r="C229" s="213"/>
      <c r="D229" s="213"/>
      <c r="E229" s="213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211"/>
      <c r="W229" s="211"/>
      <c r="X229" s="211"/>
      <c r="Y229" s="211"/>
      <c r="Z229" s="211"/>
      <c r="AA229" s="211"/>
      <c r="AB229" s="211"/>
      <c r="AC229" s="211"/>
      <c r="AD229" s="211"/>
      <c r="AE229" s="211"/>
      <c r="AF229" s="209"/>
      <c r="AG229" s="209"/>
      <c r="AH229" s="209"/>
      <c r="AI229" s="209"/>
      <c r="AJ229" s="209"/>
      <c r="AK229" s="209"/>
      <c r="AL229" s="209"/>
      <c r="AM229" s="209"/>
      <c r="AN229" s="209"/>
      <c r="AO229" s="206"/>
      <c r="AP229" s="206"/>
      <c r="AQ229" s="206"/>
      <c r="AR229" s="206"/>
    </row>
    <row r="230" spans="2:44">
      <c r="B230" s="210"/>
      <c r="C230" s="213"/>
      <c r="D230" s="213"/>
      <c r="E230" s="213"/>
      <c r="F230" s="211"/>
      <c r="G230" s="211"/>
      <c r="H230" s="211"/>
      <c r="I230" s="211"/>
      <c r="J230" s="211"/>
      <c r="K230" s="211"/>
      <c r="L230" s="211"/>
      <c r="M230" s="211"/>
      <c r="N230" s="211"/>
      <c r="O230" s="211"/>
      <c r="P230" s="211"/>
      <c r="Q230" s="211"/>
      <c r="R230" s="211"/>
      <c r="S230" s="211"/>
      <c r="T230" s="211"/>
      <c r="U230" s="211"/>
      <c r="V230" s="211"/>
      <c r="W230" s="211"/>
      <c r="X230" s="211"/>
      <c r="Y230" s="211"/>
      <c r="Z230" s="211"/>
      <c r="AA230" s="211"/>
      <c r="AB230" s="211"/>
      <c r="AC230" s="211"/>
      <c r="AD230" s="211"/>
      <c r="AE230" s="211"/>
      <c r="AF230" s="209"/>
      <c r="AG230" s="209"/>
      <c r="AH230" s="209"/>
      <c r="AI230" s="209"/>
      <c r="AJ230" s="209"/>
      <c r="AK230" s="209"/>
      <c r="AL230" s="209"/>
      <c r="AM230" s="209"/>
      <c r="AN230" s="209"/>
      <c r="AO230" s="206"/>
      <c r="AP230" s="206"/>
      <c r="AQ230" s="206"/>
      <c r="AR230" s="206"/>
    </row>
    <row r="231" spans="2:44">
      <c r="B231" s="210"/>
      <c r="C231" s="209"/>
      <c r="D231" s="213"/>
      <c r="E231" s="213"/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211"/>
      <c r="R231" s="211"/>
      <c r="S231" s="211"/>
      <c r="T231" s="211"/>
      <c r="U231" s="211"/>
      <c r="V231" s="211"/>
      <c r="W231" s="211"/>
      <c r="X231" s="211"/>
      <c r="Y231" s="211"/>
      <c r="Z231" s="211"/>
      <c r="AA231" s="211"/>
      <c r="AB231" s="211"/>
      <c r="AC231" s="211"/>
      <c r="AD231" s="211"/>
      <c r="AE231" s="211"/>
      <c r="AF231" s="209"/>
      <c r="AG231" s="209"/>
      <c r="AH231" s="209"/>
      <c r="AI231" s="209"/>
      <c r="AJ231" s="209"/>
      <c r="AK231" s="209"/>
      <c r="AL231" s="209"/>
      <c r="AM231" s="209"/>
      <c r="AN231" s="209"/>
      <c r="AO231" s="206"/>
      <c r="AP231" s="206"/>
      <c r="AQ231" s="206"/>
      <c r="AR231" s="206"/>
    </row>
    <row r="232" spans="2:44">
      <c r="B232" s="210"/>
      <c r="C232" s="209"/>
      <c r="D232" s="213"/>
      <c r="E232" s="213"/>
      <c r="F232" s="211"/>
      <c r="G232" s="211"/>
      <c r="H232" s="211"/>
      <c r="I232" s="211"/>
      <c r="J232" s="211"/>
      <c r="K232" s="211"/>
      <c r="L232" s="211"/>
      <c r="M232" s="211"/>
      <c r="N232" s="211"/>
      <c r="O232" s="211"/>
      <c r="P232" s="211"/>
      <c r="Q232" s="211"/>
      <c r="R232" s="211"/>
      <c r="S232" s="211"/>
      <c r="T232" s="211"/>
      <c r="U232" s="211"/>
      <c r="V232" s="211"/>
      <c r="W232" s="211"/>
      <c r="X232" s="211"/>
      <c r="Y232" s="211"/>
      <c r="Z232" s="211"/>
      <c r="AA232" s="211"/>
      <c r="AB232" s="211"/>
      <c r="AC232" s="211"/>
      <c r="AD232" s="211"/>
      <c r="AE232" s="211"/>
      <c r="AF232" s="209"/>
      <c r="AG232" s="209"/>
      <c r="AH232" s="209"/>
      <c r="AI232" s="209"/>
      <c r="AJ232" s="209"/>
      <c r="AK232" s="209"/>
      <c r="AL232" s="209"/>
      <c r="AM232" s="209"/>
      <c r="AN232" s="209"/>
      <c r="AO232" s="206"/>
      <c r="AP232" s="206"/>
      <c r="AQ232" s="206"/>
      <c r="AR232" s="206"/>
    </row>
    <row r="233" spans="2:44">
      <c r="B233" s="210"/>
      <c r="C233" s="209"/>
      <c r="D233" s="213"/>
      <c r="E233" s="213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211"/>
      <c r="R233" s="211"/>
      <c r="S233" s="211"/>
      <c r="T233" s="211"/>
      <c r="U233" s="211"/>
      <c r="V233" s="211"/>
      <c r="W233" s="211"/>
      <c r="X233" s="211"/>
      <c r="Y233" s="211"/>
      <c r="Z233" s="211"/>
      <c r="AA233" s="211"/>
      <c r="AB233" s="211"/>
      <c r="AC233" s="211"/>
      <c r="AD233" s="211"/>
      <c r="AE233" s="211"/>
      <c r="AF233" s="209"/>
      <c r="AG233" s="209"/>
      <c r="AH233" s="209"/>
      <c r="AI233" s="209"/>
      <c r="AJ233" s="209"/>
      <c r="AK233" s="209"/>
      <c r="AL233" s="209"/>
      <c r="AM233" s="209"/>
      <c r="AN233" s="209"/>
      <c r="AO233" s="206"/>
      <c r="AP233" s="206"/>
      <c r="AQ233" s="206"/>
      <c r="AR233" s="206"/>
    </row>
    <row r="234" spans="2:44">
      <c r="B234" s="210"/>
      <c r="C234" s="209"/>
      <c r="D234" s="213"/>
      <c r="E234" s="213"/>
      <c r="F234" s="211"/>
      <c r="G234" s="211"/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  <c r="R234" s="211"/>
      <c r="S234" s="211"/>
      <c r="T234" s="211"/>
      <c r="U234" s="211"/>
      <c r="V234" s="211"/>
      <c r="W234" s="211"/>
      <c r="X234" s="211"/>
      <c r="Y234" s="211"/>
      <c r="Z234" s="211"/>
      <c r="AA234" s="211"/>
      <c r="AB234" s="211"/>
      <c r="AC234" s="211"/>
      <c r="AD234" s="211"/>
      <c r="AE234" s="211"/>
      <c r="AF234" s="209"/>
      <c r="AG234" s="209"/>
      <c r="AH234" s="209"/>
      <c r="AI234" s="209"/>
      <c r="AJ234" s="209"/>
      <c r="AK234" s="209"/>
      <c r="AL234" s="209"/>
      <c r="AM234" s="209"/>
      <c r="AN234" s="209"/>
      <c r="AO234" s="206"/>
      <c r="AP234" s="206"/>
      <c r="AQ234" s="206"/>
      <c r="AR234" s="206"/>
    </row>
    <row r="235" spans="2:44">
      <c r="B235" s="210"/>
      <c r="C235" s="209"/>
      <c r="D235" s="213"/>
      <c r="E235" s="213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  <c r="P235" s="211"/>
      <c r="Q235" s="211"/>
      <c r="R235" s="211"/>
      <c r="S235" s="211"/>
      <c r="T235" s="211"/>
      <c r="U235" s="211"/>
      <c r="V235" s="211"/>
      <c r="W235" s="211"/>
      <c r="X235" s="211"/>
      <c r="Y235" s="211"/>
      <c r="Z235" s="211"/>
      <c r="AA235" s="211"/>
      <c r="AB235" s="211"/>
      <c r="AC235" s="211"/>
      <c r="AD235" s="211"/>
      <c r="AE235" s="211"/>
      <c r="AF235" s="209"/>
      <c r="AG235" s="209"/>
      <c r="AH235" s="209"/>
      <c r="AI235" s="209"/>
      <c r="AJ235" s="209"/>
      <c r="AK235" s="209"/>
      <c r="AL235" s="209"/>
      <c r="AM235" s="209"/>
      <c r="AN235" s="209"/>
      <c r="AO235" s="206"/>
      <c r="AP235" s="206"/>
      <c r="AQ235" s="206"/>
      <c r="AR235" s="206"/>
    </row>
    <row r="236" spans="2:44">
      <c r="B236" s="210"/>
      <c r="C236" s="209"/>
      <c r="D236" s="213"/>
      <c r="E236" s="213"/>
      <c r="F236" s="211"/>
      <c r="G236" s="211"/>
      <c r="H236" s="211"/>
      <c r="I236" s="211"/>
      <c r="J236" s="211"/>
      <c r="K236" s="211"/>
      <c r="L236" s="211"/>
      <c r="M236" s="211"/>
      <c r="N236" s="211"/>
      <c r="O236" s="211"/>
      <c r="P236" s="211"/>
      <c r="Q236" s="211"/>
      <c r="R236" s="211"/>
      <c r="S236" s="211"/>
      <c r="T236" s="211"/>
      <c r="U236" s="211"/>
      <c r="V236" s="211"/>
      <c r="W236" s="211"/>
      <c r="X236" s="211"/>
      <c r="Y236" s="211"/>
      <c r="Z236" s="211"/>
      <c r="AA236" s="211"/>
      <c r="AB236" s="211"/>
      <c r="AC236" s="211"/>
      <c r="AD236" s="211"/>
      <c r="AE236" s="211"/>
      <c r="AF236" s="209"/>
      <c r="AG236" s="209"/>
      <c r="AH236" s="209"/>
      <c r="AI236" s="209"/>
      <c r="AJ236" s="209"/>
      <c r="AK236" s="209"/>
      <c r="AL236" s="209"/>
      <c r="AM236" s="209"/>
      <c r="AN236" s="209"/>
      <c r="AO236" s="206"/>
      <c r="AP236" s="206"/>
      <c r="AQ236" s="206"/>
      <c r="AR236" s="206"/>
    </row>
    <row r="237" spans="2:44">
      <c r="B237" s="210"/>
      <c r="C237" s="209"/>
      <c r="D237" s="213"/>
      <c r="E237" s="213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1"/>
      <c r="U237" s="211"/>
      <c r="V237" s="211"/>
      <c r="W237" s="211"/>
      <c r="X237" s="211"/>
      <c r="Y237" s="211"/>
      <c r="Z237" s="211"/>
      <c r="AA237" s="211"/>
      <c r="AB237" s="211"/>
      <c r="AC237" s="211"/>
      <c r="AD237" s="211"/>
      <c r="AE237" s="211"/>
      <c r="AF237" s="209"/>
      <c r="AG237" s="209"/>
      <c r="AH237" s="209"/>
      <c r="AI237" s="209"/>
      <c r="AJ237" s="209"/>
      <c r="AK237" s="209"/>
      <c r="AL237" s="209"/>
      <c r="AM237" s="209"/>
      <c r="AN237" s="209"/>
      <c r="AO237" s="206"/>
      <c r="AP237" s="206"/>
      <c r="AQ237" s="206"/>
      <c r="AR237" s="206"/>
    </row>
    <row r="238" spans="2:44">
      <c r="B238" s="210"/>
      <c r="C238" s="209"/>
      <c r="D238" s="213"/>
      <c r="E238" s="213"/>
      <c r="F238" s="211"/>
      <c r="G238" s="211"/>
      <c r="H238" s="211"/>
      <c r="I238" s="211"/>
      <c r="J238" s="211"/>
      <c r="K238" s="211"/>
      <c r="L238" s="211"/>
      <c r="M238" s="211"/>
      <c r="N238" s="211"/>
      <c r="O238" s="211"/>
      <c r="P238" s="211"/>
      <c r="Q238" s="211"/>
      <c r="R238" s="211"/>
      <c r="S238" s="211"/>
      <c r="T238" s="211"/>
      <c r="U238" s="211"/>
      <c r="V238" s="211"/>
      <c r="W238" s="211"/>
      <c r="X238" s="211"/>
      <c r="Y238" s="211"/>
      <c r="Z238" s="211"/>
      <c r="AA238" s="211"/>
      <c r="AB238" s="211"/>
      <c r="AC238" s="211"/>
      <c r="AD238" s="211"/>
      <c r="AE238" s="211"/>
      <c r="AF238" s="209"/>
      <c r="AG238" s="209"/>
      <c r="AH238" s="209"/>
      <c r="AI238" s="209"/>
      <c r="AJ238" s="209"/>
      <c r="AK238" s="209"/>
      <c r="AL238" s="209"/>
      <c r="AM238" s="209"/>
      <c r="AN238" s="209"/>
      <c r="AO238" s="206"/>
      <c r="AP238" s="206"/>
      <c r="AQ238" s="206"/>
      <c r="AR238" s="206"/>
    </row>
    <row r="239" spans="2:44">
      <c r="B239" s="210"/>
      <c r="C239" s="209"/>
      <c r="D239" s="213"/>
      <c r="E239" s="213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211"/>
      <c r="W239" s="211"/>
      <c r="X239" s="211"/>
      <c r="Y239" s="211"/>
      <c r="Z239" s="211"/>
      <c r="AA239" s="211"/>
      <c r="AB239" s="211"/>
      <c r="AC239" s="211"/>
      <c r="AD239" s="211"/>
      <c r="AE239" s="211"/>
      <c r="AF239" s="209"/>
      <c r="AG239" s="209"/>
      <c r="AH239" s="209"/>
      <c r="AI239" s="209"/>
      <c r="AJ239" s="209"/>
      <c r="AK239" s="209"/>
      <c r="AL239" s="209"/>
      <c r="AM239" s="209"/>
      <c r="AN239" s="209"/>
      <c r="AO239" s="206"/>
      <c r="AP239" s="206"/>
      <c r="AQ239" s="206"/>
      <c r="AR239" s="206"/>
    </row>
    <row r="240" spans="2:44">
      <c r="B240" s="210"/>
      <c r="C240" s="209"/>
      <c r="D240" s="209"/>
      <c r="E240" s="209"/>
      <c r="F240" s="211"/>
      <c r="G240" s="211"/>
      <c r="H240" s="211"/>
      <c r="I240" s="211"/>
      <c r="J240" s="211"/>
      <c r="K240" s="211"/>
      <c r="L240" s="211"/>
      <c r="M240" s="211"/>
      <c r="N240" s="211"/>
      <c r="O240" s="211"/>
      <c r="P240" s="211"/>
      <c r="Q240" s="211"/>
      <c r="R240" s="211"/>
      <c r="S240" s="211"/>
      <c r="T240" s="211"/>
      <c r="U240" s="209"/>
      <c r="V240" s="209"/>
      <c r="W240" s="209"/>
      <c r="X240" s="209"/>
      <c r="Y240" s="209"/>
      <c r="Z240" s="209"/>
      <c r="AA240" s="209"/>
      <c r="AB240" s="209"/>
      <c r="AC240" s="209"/>
      <c r="AD240" s="209"/>
      <c r="AE240" s="209"/>
      <c r="AF240" s="209"/>
      <c r="AG240" s="209"/>
      <c r="AH240" s="209"/>
      <c r="AI240" s="209"/>
      <c r="AJ240" s="209"/>
      <c r="AK240" s="209"/>
      <c r="AL240" s="209"/>
      <c r="AM240" s="209"/>
      <c r="AN240" s="209"/>
      <c r="AO240" s="206"/>
      <c r="AP240" s="206"/>
      <c r="AQ240" s="206"/>
      <c r="AR240" s="206"/>
    </row>
    <row r="241" spans="2:44">
      <c r="B241" s="214"/>
      <c r="C241" s="209"/>
      <c r="D241" s="209"/>
      <c r="E241" s="209"/>
      <c r="F241" s="211"/>
      <c r="G241" s="215"/>
      <c r="H241" s="215"/>
      <c r="I241" s="215"/>
      <c r="J241" s="215"/>
      <c r="K241" s="215"/>
      <c r="L241" s="215"/>
      <c r="M241" s="215"/>
      <c r="N241" s="215"/>
      <c r="O241" s="215"/>
      <c r="P241" s="215"/>
      <c r="Q241" s="215"/>
      <c r="R241" s="215"/>
      <c r="S241" s="215"/>
      <c r="T241" s="215"/>
      <c r="U241" s="215"/>
      <c r="V241" s="215"/>
      <c r="W241" s="215"/>
      <c r="X241" s="215"/>
      <c r="Y241" s="215"/>
      <c r="Z241" s="215"/>
      <c r="AA241" s="215"/>
      <c r="AB241" s="215"/>
      <c r="AC241" s="215"/>
      <c r="AD241" s="215"/>
      <c r="AE241" s="215"/>
      <c r="AF241" s="209"/>
      <c r="AG241" s="209"/>
      <c r="AH241" s="209"/>
      <c r="AI241" s="209"/>
      <c r="AJ241" s="209"/>
      <c r="AK241" s="209"/>
      <c r="AL241" s="209"/>
      <c r="AM241" s="209"/>
      <c r="AN241" s="209"/>
      <c r="AO241" s="206"/>
      <c r="AP241" s="206"/>
      <c r="AQ241" s="206"/>
      <c r="AR241" s="206"/>
    </row>
    <row r="242" spans="2:44">
      <c r="B242" s="214"/>
      <c r="C242" s="209"/>
      <c r="D242" s="209"/>
      <c r="E242" s="209"/>
      <c r="F242" s="211"/>
      <c r="G242" s="211"/>
      <c r="H242" s="211"/>
      <c r="I242" s="211"/>
      <c r="J242" s="211"/>
      <c r="K242" s="211"/>
      <c r="L242" s="211"/>
      <c r="M242" s="211"/>
      <c r="N242" s="211"/>
      <c r="O242" s="211"/>
      <c r="P242" s="211"/>
      <c r="Q242" s="211"/>
      <c r="R242" s="211"/>
      <c r="S242" s="211"/>
      <c r="T242" s="211"/>
      <c r="U242" s="209"/>
      <c r="V242" s="209"/>
      <c r="W242" s="209"/>
      <c r="X242" s="209"/>
      <c r="Y242" s="209"/>
      <c r="Z242" s="209"/>
      <c r="AA242" s="209"/>
      <c r="AB242" s="209"/>
      <c r="AC242" s="209"/>
      <c r="AD242" s="209"/>
      <c r="AE242" s="209"/>
      <c r="AF242" s="209"/>
      <c r="AG242" s="209"/>
      <c r="AH242" s="209"/>
      <c r="AI242" s="209"/>
      <c r="AJ242" s="209"/>
      <c r="AK242" s="209"/>
      <c r="AL242" s="209"/>
      <c r="AM242" s="209"/>
      <c r="AN242" s="209"/>
      <c r="AO242" s="206"/>
      <c r="AP242" s="206"/>
      <c r="AQ242" s="206"/>
      <c r="AR242" s="206"/>
    </row>
    <row r="243" spans="2:44">
      <c r="B243" s="193"/>
      <c r="C243" s="183"/>
      <c r="D243" s="183"/>
      <c r="E243" s="183"/>
      <c r="F243" s="183"/>
      <c r="G243" s="183"/>
      <c r="H243" s="183"/>
      <c r="I243" s="183"/>
      <c r="J243" s="183"/>
      <c r="K243" s="183"/>
      <c r="L243" s="183"/>
      <c r="M243" s="183"/>
      <c r="N243" s="183"/>
      <c r="O243" s="183"/>
      <c r="P243" s="183"/>
      <c r="Q243" s="183"/>
      <c r="R243" s="183"/>
      <c r="S243" s="183"/>
      <c r="T243" s="183"/>
      <c r="U243" s="183"/>
      <c r="V243" s="183"/>
      <c r="W243" s="183"/>
      <c r="X243" s="183"/>
      <c r="Y243" s="183"/>
      <c r="Z243" s="183"/>
      <c r="AA243" s="183"/>
      <c r="AB243" s="183"/>
      <c r="AC243" s="183"/>
      <c r="AD243" s="183"/>
      <c r="AE243" s="183"/>
      <c r="AF243" s="183"/>
      <c r="AG243" s="183"/>
      <c r="AH243" s="183"/>
      <c r="AI243" s="183"/>
      <c r="AJ243" s="183"/>
      <c r="AK243" s="183"/>
      <c r="AL243" s="183"/>
      <c r="AM243" s="183"/>
      <c r="AN243" s="183"/>
    </row>
    <row r="244" spans="2:44">
      <c r="B244" s="202"/>
      <c r="C244" s="183"/>
      <c r="D244" s="183"/>
      <c r="E244" s="183"/>
      <c r="F244" s="183"/>
      <c r="G244" s="216"/>
      <c r="H244" s="216"/>
      <c r="I244" s="216"/>
      <c r="J244" s="216"/>
      <c r="K244" s="216"/>
      <c r="L244" s="216"/>
      <c r="M244" s="216"/>
      <c r="N244" s="216"/>
      <c r="O244" s="216"/>
      <c r="P244" s="216"/>
      <c r="Q244" s="183"/>
      <c r="R244" s="183"/>
      <c r="S244" s="183"/>
      <c r="T244" s="183"/>
      <c r="U244" s="183"/>
      <c r="V244" s="183"/>
      <c r="W244" s="183"/>
      <c r="X244" s="183"/>
      <c r="Y244" s="183"/>
      <c r="Z244" s="183"/>
      <c r="AA244" s="183"/>
      <c r="AB244" s="183"/>
      <c r="AC244" s="183"/>
      <c r="AD244" s="183"/>
      <c r="AE244" s="183"/>
      <c r="AF244" s="183"/>
      <c r="AG244" s="183"/>
      <c r="AH244" s="183"/>
      <c r="AI244" s="183"/>
      <c r="AJ244" s="183"/>
      <c r="AK244" s="183"/>
      <c r="AL244" s="183"/>
      <c r="AM244" s="183"/>
      <c r="AN244" s="183"/>
    </row>
    <row r="245" spans="2:44">
      <c r="B245" s="202"/>
      <c r="C245" s="183"/>
      <c r="D245" s="183"/>
      <c r="E245" s="183"/>
      <c r="F245" s="183"/>
      <c r="G245" s="216"/>
      <c r="H245" s="216"/>
      <c r="I245" s="216"/>
      <c r="J245" s="216"/>
      <c r="K245" s="216"/>
      <c r="L245" s="216"/>
      <c r="M245" s="216"/>
      <c r="N245" s="216"/>
      <c r="O245" s="216"/>
      <c r="P245" s="216"/>
      <c r="Q245" s="183"/>
      <c r="R245" s="183"/>
      <c r="S245" s="183"/>
      <c r="T245" s="183"/>
      <c r="U245" s="183"/>
      <c r="V245" s="183"/>
      <c r="W245" s="183"/>
      <c r="X245" s="183"/>
      <c r="Y245" s="183"/>
      <c r="Z245" s="183"/>
      <c r="AA245" s="183"/>
      <c r="AB245" s="183"/>
      <c r="AC245" s="183"/>
      <c r="AD245" s="183"/>
      <c r="AE245" s="183"/>
      <c r="AF245" s="183"/>
      <c r="AG245" s="183"/>
      <c r="AH245" s="183"/>
      <c r="AI245" s="183"/>
      <c r="AJ245" s="183"/>
      <c r="AK245" s="183"/>
      <c r="AL245" s="183"/>
      <c r="AM245" s="183"/>
      <c r="AN245" s="183"/>
    </row>
    <row r="246" spans="2:44">
      <c r="B246" s="193"/>
      <c r="C246" s="183"/>
      <c r="D246" s="183"/>
      <c r="E246" s="183"/>
      <c r="F246" s="183"/>
      <c r="G246" s="183"/>
      <c r="H246" s="183"/>
      <c r="I246" s="183"/>
      <c r="J246" s="183"/>
      <c r="K246" s="183"/>
      <c r="L246" s="183"/>
      <c r="M246" s="183"/>
      <c r="N246" s="183"/>
      <c r="O246" s="183"/>
      <c r="P246" s="183"/>
      <c r="Q246" s="183"/>
      <c r="R246" s="183"/>
      <c r="S246" s="183"/>
      <c r="T246" s="183"/>
      <c r="U246" s="183"/>
      <c r="V246" s="183"/>
      <c r="W246" s="183"/>
      <c r="X246" s="183"/>
      <c r="Y246" s="183"/>
      <c r="Z246" s="183"/>
      <c r="AA246" s="183"/>
      <c r="AB246" s="183"/>
      <c r="AC246" s="183"/>
      <c r="AD246" s="183"/>
      <c r="AE246" s="183"/>
      <c r="AF246" s="183"/>
      <c r="AG246" s="183"/>
      <c r="AH246" s="183"/>
      <c r="AI246" s="183"/>
      <c r="AJ246" s="183"/>
      <c r="AK246" s="183"/>
      <c r="AL246" s="183"/>
      <c r="AM246" s="183"/>
      <c r="AN246" s="183"/>
    </row>
    <row r="247" spans="2:44">
      <c r="C247" s="183"/>
      <c r="D247" s="183"/>
      <c r="E247" s="183"/>
      <c r="F247" s="217"/>
      <c r="G247" s="217"/>
      <c r="H247" s="217"/>
      <c r="I247" s="217"/>
      <c r="J247" s="217"/>
      <c r="K247" s="217"/>
      <c r="L247" s="217"/>
      <c r="M247" s="217"/>
      <c r="N247" s="217"/>
      <c r="O247" s="217"/>
      <c r="P247" s="217"/>
      <c r="Q247" s="183"/>
      <c r="R247" s="183"/>
      <c r="S247" s="183"/>
      <c r="T247" s="183"/>
      <c r="U247" s="183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  <c r="AF247" s="183"/>
      <c r="AG247" s="183"/>
      <c r="AH247" s="183"/>
      <c r="AI247" s="183"/>
      <c r="AJ247" s="183"/>
      <c r="AK247" s="183"/>
      <c r="AL247" s="183"/>
      <c r="AM247" s="183"/>
      <c r="AN247" s="183"/>
    </row>
    <row r="248" spans="2:44">
      <c r="C248" s="183"/>
      <c r="D248" s="183"/>
      <c r="E248" s="183"/>
      <c r="F248" s="217"/>
      <c r="G248" s="217"/>
      <c r="H248" s="217"/>
      <c r="I248" s="217"/>
      <c r="J248" s="217"/>
      <c r="K248" s="217"/>
      <c r="L248" s="217"/>
      <c r="M248" s="217"/>
      <c r="N248" s="217"/>
      <c r="O248" s="217"/>
      <c r="P248" s="217"/>
      <c r="Q248" s="183"/>
      <c r="R248" s="183"/>
      <c r="S248" s="183"/>
      <c r="T248" s="183"/>
      <c r="U248" s="183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</row>
    <row r="249" spans="2:44">
      <c r="C249" s="183"/>
      <c r="D249" s="183"/>
      <c r="E249" s="183"/>
      <c r="F249" s="218"/>
      <c r="G249" s="217"/>
      <c r="H249" s="217"/>
      <c r="I249" s="217"/>
      <c r="J249" s="217"/>
      <c r="K249" s="217"/>
      <c r="L249" s="217"/>
      <c r="M249" s="217"/>
      <c r="N249" s="217"/>
      <c r="O249" s="217"/>
      <c r="P249" s="217"/>
      <c r="Q249" s="183"/>
      <c r="R249" s="183"/>
      <c r="S249" s="183"/>
      <c r="T249" s="183"/>
      <c r="U249" s="183"/>
      <c r="V249" s="183"/>
      <c r="W249" s="183"/>
      <c r="X249" s="183"/>
      <c r="Y249" s="183"/>
      <c r="Z249" s="183"/>
      <c r="AA249" s="183"/>
      <c r="AB249" s="183"/>
      <c r="AC249" s="183"/>
      <c r="AD249" s="183"/>
      <c r="AE249" s="183"/>
      <c r="AF249" s="183"/>
      <c r="AG249" s="183"/>
      <c r="AH249" s="183"/>
      <c r="AI249" s="183"/>
      <c r="AJ249" s="183"/>
      <c r="AK249" s="183"/>
      <c r="AL249" s="183"/>
      <c r="AM249" s="183"/>
      <c r="AN249" s="183"/>
    </row>
    <row r="250" spans="2:44">
      <c r="C250" s="183"/>
      <c r="D250" s="183"/>
      <c r="E250" s="183"/>
      <c r="F250" s="218"/>
      <c r="G250" s="217"/>
      <c r="H250" s="217"/>
      <c r="I250" s="217"/>
      <c r="J250" s="217"/>
      <c r="K250" s="217"/>
      <c r="L250" s="217"/>
      <c r="M250" s="217"/>
      <c r="N250" s="217"/>
      <c r="O250" s="217"/>
      <c r="P250" s="217"/>
      <c r="Q250" s="183"/>
      <c r="R250" s="183"/>
      <c r="S250" s="183"/>
      <c r="T250" s="183"/>
      <c r="U250" s="183"/>
      <c r="V250" s="183"/>
      <c r="W250" s="183"/>
      <c r="X250" s="183"/>
      <c r="Y250" s="183"/>
      <c r="Z250" s="183"/>
      <c r="AA250" s="183"/>
      <c r="AB250" s="183"/>
      <c r="AC250" s="183"/>
      <c r="AD250" s="183"/>
      <c r="AE250" s="183"/>
      <c r="AF250" s="183"/>
      <c r="AG250" s="183"/>
      <c r="AH250" s="183"/>
      <c r="AI250" s="183"/>
      <c r="AJ250" s="183"/>
      <c r="AK250" s="183"/>
      <c r="AL250" s="183"/>
      <c r="AM250" s="183"/>
      <c r="AN250" s="183"/>
    </row>
    <row r="251" spans="2:44">
      <c r="C251" s="183"/>
      <c r="D251" s="183"/>
      <c r="E251" s="183"/>
      <c r="F251" s="219"/>
      <c r="G251" s="217"/>
      <c r="H251" s="217"/>
      <c r="I251" s="217"/>
      <c r="J251" s="217"/>
      <c r="K251" s="217"/>
      <c r="L251" s="217"/>
      <c r="M251" s="217"/>
      <c r="N251" s="217"/>
      <c r="O251" s="217"/>
      <c r="P251" s="217"/>
      <c r="Q251" s="183"/>
      <c r="R251" s="183"/>
      <c r="S251" s="183"/>
      <c r="T251" s="183"/>
      <c r="U251" s="183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  <c r="AF251" s="183"/>
      <c r="AG251" s="183"/>
      <c r="AH251" s="183"/>
      <c r="AI251" s="183"/>
      <c r="AJ251" s="183"/>
      <c r="AK251" s="183"/>
      <c r="AL251" s="183"/>
      <c r="AM251" s="183"/>
      <c r="AN251" s="183"/>
    </row>
    <row r="252" spans="2:44">
      <c r="C252" s="183"/>
      <c r="D252" s="183"/>
      <c r="E252" s="183"/>
      <c r="F252" s="219"/>
      <c r="G252" s="217"/>
      <c r="H252" s="217"/>
      <c r="I252" s="217"/>
      <c r="J252" s="217"/>
      <c r="K252" s="217"/>
      <c r="L252" s="217"/>
      <c r="M252" s="217"/>
      <c r="N252" s="217"/>
      <c r="O252" s="217"/>
      <c r="P252" s="217"/>
      <c r="Q252" s="183"/>
      <c r="R252" s="183"/>
      <c r="S252" s="183"/>
      <c r="T252" s="183"/>
      <c r="U252" s="183"/>
      <c r="V252" s="183"/>
      <c r="W252" s="183"/>
      <c r="X252" s="183"/>
      <c r="Y252" s="183"/>
      <c r="Z252" s="183"/>
      <c r="AA252" s="183"/>
      <c r="AB252" s="183"/>
      <c r="AC252" s="183"/>
      <c r="AD252" s="183"/>
      <c r="AE252" s="183"/>
      <c r="AF252" s="183"/>
      <c r="AG252" s="183"/>
      <c r="AH252" s="183"/>
      <c r="AI252" s="183"/>
      <c r="AJ252" s="183"/>
      <c r="AK252" s="183"/>
      <c r="AL252" s="183"/>
      <c r="AM252" s="183"/>
      <c r="AN252" s="183"/>
    </row>
    <row r="253" spans="2:44">
      <c r="C253" s="183"/>
      <c r="D253" s="183"/>
      <c r="E253" s="183"/>
      <c r="F253" s="219"/>
      <c r="G253" s="219"/>
      <c r="H253" s="219"/>
      <c r="I253" s="219"/>
      <c r="J253" s="219"/>
      <c r="K253" s="219"/>
      <c r="L253" s="219"/>
      <c r="M253" s="219"/>
      <c r="N253" s="219"/>
      <c r="O253" s="219"/>
      <c r="P253" s="219"/>
      <c r="Q253" s="183"/>
      <c r="R253" s="183"/>
      <c r="S253" s="183"/>
      <c r="T253" s="183"/>
      <c r="U253" s="183"/>
      <c r="V253" s="183"/>
      <c r="W253" s="183"/>
      <c r="X253" s="183"/>
      <c r="Y253" s="183"/>
      <c r="Z253" s="183"/>
      <c r="AA253" s="183"/>
      <c r="AB253" s="183"/>
      <c r="AC253" s="183"/>
      <c r="AD253" s="183"/>
      <c r="AE253" s="183"/>
      <c r="AF253" s="183"/>
      <c r="AG253" s="183"/>
      <c r="AH253" s="183"/>
      <c r="AI253" s="183"/>
      <c r="AJ253" s="183"/>
      <c r="AK253" s="183"/>
      <c r="AL253" s="183"/>
      <c r="AM253" s="183"/>
      <c r="AN253" s="183"/>
    </row>
    <row r="254" spans="2:44">
      <c r="C254" s="183"/>
      <c r="D254" s="183"/>
      <c r="E254" s="183"/>
      <c r="F254" s="220"/>
      <c r="G254" s="220"/>
      <c r="H254" s="220"/>
      <c r="I254" s="220"/>
      <c r="J254" s="220"/>
      <c r="K254" s="220"/>
      <c r="L254" s="220"/>
      <c r="M254" s="220"/>
      <c r="N254" s="220"/>
      <c r="O254" s="220"/>
      <c r="P254" s="220"/>
      <c r="Q254" s="183"/>
      <c r="R254" s="183"/>
      <c r="S254" s="183"/>
      <c r="T254" s="183"/>
      <c r="U254" s="183"/>
      <c r="V254" s="183"/>
      <c r="W254" s="183"/>
      <c r="X254" s="183"/>
      <c r="Y254" s="183"/>
      <c r="Z254" s="183"/>
      <c r="AA254" s="183"/>
      <c r="AB254" s="183"/>
      <c r="AC254" s="183"/>
      <c r="AD254" s="183"/>
      <c r="AE254" s="183"/>
      <c r="AF254" s="183"/>
      <c r="AG254" s="183"/>
      <c r="AH254" s="183"/>
      <c r="AI254" s="183"/>
      <c r="AJ254" s="183"/>
      <c r="AK254" s="183"/>
      <c r="AL254" s="183"/>
      <c r="AM254" s="183"/>
      <c r="AN254" s="183"/>
    </row>
    <row r="255" spans="2:44">
      <c r="C255" s="183"/>
      <c r="D255" s="183"/>
      <c r="E255" s="183"/>
      <c r="F255" s="218"/>
      <c r="G255" s="219"/>
      <c r="H255" s="219"/>
      <c r="I255" s="219"/>
      <c r="J255" s="219"/>
      <c r="K255" s="219"/>
      <c r="L255" s="219"/>
      <c r="M255" s="219"/>
      <c r="N255" s="219"/>
      <c r="O255" s="219"/>
      <c r="P255" s="219"/>
      <c r="Q255" s="183"/>
      <c r="R255" s="183"/>
      <c r="S255" s="183"/>
      <c r="T255" s="183"/>
      <c r="U255" s="183"/>
      <c r="V255" s="183"/>
      <c r="W255" s="183"/>
      <c r="X255" s="183"/>
      <c r="Y255" s="183"/>
      <c r="Z255" s="183"/>
      <c r="AA255" s="183"/>
      <c r="AB255" s="183"/>
      <c r="AC255" s="183"/>
      <c r="AD255" s="183"/>
      <c r="AE255" s="183"/>
      <c r="AF255" s="183"/>
      <c r="AG255" s="183"/>
      <c r="AH255" s="183"/>
      <c r="AI255" s="183"/>
      <c r="AJ255" s="183"/>
      <c r="AK255" s="183"/>
      <c r="AL255" s="183"/>
      <c r="AM255" s="183"/>
      <c r="AN255" s="183"/>
    </row>
    <row r="256" spans="2:44">
      <c r="C256" s="183"/>
      <c r="D256" s="183"/>
      <c r="E256" s="183"/>
      <c r="F256" s="218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3"/>
      <c r="R256" s="183"/>
      <c r="S256" s="183"/>
      <c r="T256" s="183"/>
      <c r="U256" s="183"/>
      <c r="V256" s="183"/>
      <c r="W256" s="183"/>
      <c r="X256" s="183"/>
      <c r="Y256" s="183"/>
      <c r="Z256" s="183"/>
      <c r="AA256" s="183"/>
      <c r="AB256" s="183"/>
      <c r="AC256" s="183"/>
      <c r="AD256" s="183"/>
      <c r="AE256" s="183"/>
      <c r="AF256" s="183"/>
      <c r="AG256" s="183"/>
      <c r="AH256" s="183"/>
      <c r="AI256" s="183"/>
      <c r="AJ256" s="183"/>
      <c r="AK256" s="183"/>
      <c r="AL256" s="183"/>
      <c r="AM256" s="183"/>
      <c r="AN256" s="183"/>
    </row>
    <row r="257" spans="2:40">
      <c r="C257" s="183"/>
      <c r="D257" s="183"/>
      <c r="E257" s="183"/>
      <c r="F257" s="219"/>
      <c r="G257" s="218"/>
      <c r="H257" s="218"/>
      <c r="I257" s="218"/>
      <c r="J257" s="218"/>
      <c r="K257" s="218"/>
      <c r="L257" s="218"/>
      <c r="M257" s="218"/>
      <c r="N257" s="218"/>
      <c r="O257" s="218"/>
      <c r="P257" s="218"/>
      <c r="Q257" s="183"/>
      <c r="R257" s="183"/>
      <c r="S257" s="183"/>
      <c r="T257" s="183"/>
      <c r="U257" s="183"/>
      <c r="V257" s="183"/>
      <c r="W257" s="183"/>
      <c r="X257" s="183"/>
      <c r="Y257" s="183"/>
      <c r="Z257" s="183"/>
      <c r="AA257" s="183"/>
      <c r="AB257" s="183"/>
      <c r="AC257" s="183"/>
      <c r="AD257" s="183"/>
      <c r="AE257" s="183"/>
      <c r="AF257" s="183"/>
      <c r="AG257" s="183"/>
      <c r="AH257" s="183"/>
      <c r="AI257" s="183"/>
      <c r="AJ257" s="183"/>
      <c r="AK257" s="183"/>
      <c r="AL257" s="183"/>
      <c r="AM257" s="183"/>
      <c r="AN257" s="183"/>
    </row>
    <row r="258" spans="2:40">
      <c r="C258" s="183"/>
      <c r="D258" s="183"/>
      <c r="E258" s="183"/>
      <c r="F258" s="219"/>
      <c r="G258" s="218"/>
      <c r="H258" s="218"/>
      <c r="I258" s="218"/>
      <c r="J258" s="218"/>
      <c r="K258" s="218"/>
      <c r="L258" s="218"/>
      <c r="M258" s="218"/>
      <c r="N258" s="218"/>
      <c r="O258" s="218"/>
      <c r="P258" s="218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</row>
    <row r="259" spans="2:40">
      <c r="C259" s="183"/>
      <c r="D259" s="183"/>
      <c r="E259" s="183"/>
      <c r="F259" s="217"/>
      <c r="G259" s="221"/>
      <c r="H259" s="221"/>
      <c r="I259" s="221"/>
      <c r="J259" s="221"/>
      <c r="K259" s="221"/>
      <c r="L259" s="221"/>
      <c r="M259" s="221"/>
      <c r="N259" s="221"/>
      <c r="O259" s="221"/>
      <c r="P259" s="221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</row>
    <row r="260" spans="2:40">
      <c r="C260" s="183"/>
      <c r="D260" s="183"/>
      <c r="E260" s="183"/>
      <c r="F260" s="183"/>
      <c r="G260" s="221"/>
      <c r="H260" s="221"/>
      <c r="I260" s="221"/>
      <c r="J260" s="221"/>
      <c r="K260" s="221"/>
      <c r="L260" s="221"/>
      <c r="M260" s="221"/>
      <c r="N260" s="221"/>
      <c r="O260" s="221"/>
      <c r="P260" s="221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</row>
    <row r="261" spans="2:40">
      <c r="B261" s="193"/>
      <c r="C261" s="183"/>
      <c r="D261" s="183"/>
      <c r="E261" s="183"/>
      <c r="F261" s="183"/>
      <c r="G261" s="183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</row>
    <row r="262" spans="2:40">
      <c r="C262" s="183"/>
      <c r="D262" s="183"/>
      <c r="E262" s="183"/>
      <c r="F262" s="222"/>
      <c r="G262" s="222"/>
      <c r="H262" s="222"/>
      <c r="I262" s="222"/>
      <c r="J262" s="222"/>
      <c r="K262" s="222"/>
      <c r="L262" s="222"/>
      <c r="M262" s="222"/>
      <c r="N262" s="222"/>
      <c r="O262" s="222"/>
      <c r="P262" s="222"/>
      <c r="Q262" s="223"/>
      <c r="R262" s="223"/>
      <c r="S262" s="223"/>
      <c r="T262" s="223"/>
      <c r="U262" s="22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</row>
    <row r="263" spans="2:40">
      <c r="C263" s="183"/>
      <c r="D263" s="183"/>
      <c r="E263" s="183"/>
      <c r="F263" s="223"/>
      <c r="G263" s="223"/>
      <c r="H263" s="223"/>
      <c r="I263" s="223"/>
      <c r="J263" s="223"/>
      <c r="K263" s="223"/>
      <c r="L263" s="223"/>
      <c r="M263" s="223"/>
      <c r="N263" s="223"/>
      <c r="O263" s="223"/>
      <c r="P263" s="223"/>
      <c r="Q263" s="223"/>
      <c r="R263" s="223"/>
      <c r="S263" s="223"/>
      <c r="T263" s="223"/>
      <c r="U263" s="22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</row>
    <row r="264" spans="2:40">
      <c r="C264" s="183"/>
      <c r="D264" s="183"/>
      <c r="E264" s="183"/>
      <c r="F264" s="223"/>
      <c r="G264" s="223"/>
      <c r="H264" s="223"/>
      <c r="I264" s="223"/>
      <c r="J264" s="223"/>
      <c r="K264" s="223"/>
      <c r="L264" s="223"/>
      <c r="M264" s="223"/>
      <c r="N264" s="223"/>
      <c r="O264" s="223"/>
      <c r="P264" s="22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</row>
    <row r="265" spans="2:40">
      <c r="C265" s="183"/>
      <c r="D265" s="183"/>
      <c r="E265" s="183"/>
      <c r="F265" s="195"/>
      <c r="G265" s="195"/>
      <c r="H265" s="195"/>
      <c r="I265" s="195"/>
      <c r="J265" s="195"/>
      <c r="K265" s="195"/>
      <c r="L265" s="195"/>
      <c r="M265" s="195"/>
      <c r="N265" s="195"/>
      <c r="O265" s="195"/>
      <c r="P265" s="195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</row>
    <row r="266" spans="2:40">
      <c r="C266" s="183"/>
      <c r="D266" s="183"/>
      <c r="E266" s="183"/>
      <c r="F266" s="195"/>
      <c r="G266" s="195"/>
      <c r="H266" s="195"/>
      <c r="I266" s="195"/>
      <c r="J266" s="195"/>
      <c r="K266" s="195"/>
      <c r="L266" s="195"/>
      <c r="M266" s="195"/>
      <c r="N266" s="195"/>
      <c r="O266" s="195"/>
      <c r="P266" s="195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</row>
    <row r="267" spans="2:40">
      <c r="C267" s="183"/>
      <c r="D267" s="183"/>
      <c r="E267" s="183"/>
      <c r="F267" s="183"/>
      <c r="G267" s="195"/>
      <c r="H267" s="224"/>
      <c r="I267" s="195"/>
      <c r="J267" s="195"/>
      <c r="K267" s="195"/>
      <c r="L267" s="195"/>
      <c r="M267" s="195"/>
      <c r="N267" s="195"/>
      <c r="O267" s="195"/>
      <c r="P267" s="195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  <c r="AG267" s="183"/>
      <c r="AH267" s="183"/>
      <c r="AI267" s="183"/>
      <c r="AJ267" s="183"/>
      <c r="AK267" s="183"/>
      <c r="AL267" s="183"/>
      <c r="AM267" s="183"/>
      <c r="AN267" s="183"/>
    </row>
    <row r="268" spans="2:40">
      <c r="C268" s="183"/>
      <c r="D268" s="183"/>
      <c r="E268" s="183"/>
      <c r="F268" s="183"/>
      <c r="G268" s="195"/>
      <c r="H268" s="195"/>
      <c r="I268" s="195"/>
      <c r="J268" s="195"/>
      <c r="K268" s="195"/>
      <c r="L268" s="195"/>
      <c r="M268" s="195"/>
      <c r="N268" s="195"/>
      <c r="O268" s="195"/>
      <c r="P268" s="195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  <c r="AF268" s="183"/>
      <c r="AG268" s="183"/>
      <c r="AH268" s="183"/>
      <c r="AI268" s="183"/>
      <c r="AJ268" s="183"/>
      <c r="AK268" s="183"/>
      <c r="AL268" s="183"/>
      <c r="AM268" s="183"/>
      <c r="AN268" s="183"/>
    </row>
    <row r="269" spans="2:40">
      <c r="C269" s="183"/>
      <c r="D269" s="183"/>
      <c r="E269" s="183"/>
      <c r="F269" s="183"/>
      <c r="G269" s="195"/>
      <c r="H269" s="195"/>
      <c r="I269" s="195"/>
      <c r="J269" s="195"/>
      <c r="K269" s="195"/>
      <c r="L269" s="195"/>
      <c r="M269" s="195"/>
      <c r="N269" s="195"/>
      <c r="O269" s="195"/>
      <c r="P269" s="195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  <c r="AF269" s="183"/>
      <c r="AG269" s="183"/>
      <c r="AH269" s="183"/>
      <c r="AI269" s="183"/>
      <c r="AJ269" s="183"/>
      <c r="AK269" s="183"/>
      <c r="AL269" s="183"/>
      <c r="AM269" s="183"/>
      <c r="AN269" s="183"/>
    </row>
    <row r="270" spans="2:40">
      <c r="C270" s="183"/>
      <c r="D270" s="183"/>
      <c r="E270" s="183"/>
      <c r="F270" s="183"/>
      <c r="G270" s="195"/>
      <c r="H270" s="195"/>
      <c r="I270" s="195"/>
      <c r="J270" s="195"/>
      <c r="K270" s="195"/>
      <c r="L270" s="195"/>
      <c r="M270" s="195"/>
      <c r="N270" s="195"/>
      <c r="O270" s="195"/>
      <c r="P270" s="195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  <c r="AG270" s="183"/>
      <c r="AH270" s="183"/>
      <c r="AI270" s="183"/>
      <c r="AJ270" s="183"/>
      <c r="AK270" s="183"/>
      <c r="AL270" s="183"/>
      <c r="AM270" s="183"/>
      <c r="AN270" s="183"/>
    </row>
    <row r="271" spans="2:40">
      <c r="C271" s="183"/>
      <c r="D271" s="183"/>
      <c r="E271" s="183"/>
      <c r="F271" s="183"/>
      <c r="G271" s="195"/>
      <c r="H271" s="195"/>
      <c r="I271" s="195"/>
      <c r="J271" s="195"/>
      <c r="K271" s="195"/>
      <c r="L271" s="195"/>
      <c r="M271" s="195"/>
      <c r="N271" s="195"/>
      <c r="O271" s="195"/>
      <c r="P271" s="195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  <c r="AG271" s="183"/>
      <c r="AH271" s="183"/>
      <c r="AI271" s="183"/>
      <c r="AJ271" s="183"/>
      <c r="AK271" s="183"/>
      <c r="AL271" s="183"/>
      <c r="AM271" s="183"/>
      <c r="AN271" s="183"/>
    </row>
    <row r="272" spans="2:40">
      <c r="C272" s="183"/>
      <c r="D272" s="183"/>
      <c r="E272" s="183"/>
      <c r="F272" s="183"/>
      <c r="G272" s="195"/>
      <c r="H272" s="195"/>
      <c r="I272" s="195"/>
      <c r="J272" s="195"/>
      <c r="K272" s="195"/>
      <c r="L272" s="195"/>
      <c r="M272" s="195"/>
      <c r="N272" s="195"/>
      <c r="O272" s="195"/>
      <c r="P272" s="195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  <c r="AG272" s="183"/>
      <c r="AH272" s="183"/>
      <c r="AI272" s="183"/>
      <c r="AJ272" s="183"/>
      <c r="AK272" s="183"/>
      <c r="AL272" s="183"/>
      <c r="AM272" s="183"/>
      <c r="AN272" s="183"/>
    </row>
    <row r="273" spans="2:40">
      <c r="C273" s="183"/>
      <c r="D273" s="183"/>
      <c r="E273" s="183"/>
      <c r="F273" s="183"/>
      <c r="G273" s="195"/>
      <c r="H273" s="195"/>
      <c r="I273" s="195"/>
      <c r="J273" s="195"/>
      <c r="K273" s="195"/>
      <c r="L273" s="195"/>
      <c r="M273" s="195"/>
      <c r="N273" s="195"/>
      <c r="O273" s="195"/>
      <c r="P273" s="195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  <c r="AK273" s="183"/>
      <c r="AL273" s="183"/>
      <c r="AM273" s="183"/>
      <c r="AN273" s="183"/>
    </row>
    <row r="274" spans="2:40">
      <c r="C274" s="183"/>
      <c r="D274" s="183"/>
      <c r="E274" s="183"/>
      <c r="F274" s="183"/>
      <c r="G274" s="195"/>
      <c r="H274" s="195"/>
      <c r="I274" s="195"/>
      <c r="J274" s="195"/>
      <c r="K274" s="195"/>
      <c r="L274" s="195"/>
      <c r="M274" s="195"/>
      <c r="N274" s="195"/>
      <c r="O274" s="195"/>
      <c r="P274" s="195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  <c r="AG274" s="183"/>
      <c r="AH274" s="183"/>
      <c r="AI274" s="183"/>
      <c r="AJ274" s="183"/>
      <c r="AK274" s="183"/>
      <c r="AL274" s="183"/>
      <c r="AM274" s="183"/>
      <c r="AN274" s="183"/>
    </row>
    <row r="275" spans="2:40">
      <c r="B275" s="193"/>
      <c r="C275" s="183"/>
      <c r="D275" s="183"/>
      <c r="E275" s="183"/>
      <c r="F275" s="183"/>
      <c r="G275" s="183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  <c r="AG275" s="183"/>
      <c r="AH275" s="183"/>
      <c r="AI275" s="183"/>
      <c r="AJ275" s="183"/>
      <c r="AK275" s="183"/>
      <c r="AL275" s="183"/>
      <c r="AM275" s="183"/>
      <c r="AN275" s="183"/>
    </row>
    <row r="276" spans="2:40">
      <c r="C276" s="183"/>
      <c r="D276" s="183"/>
      <c r="E276" s="183"/>
      <c r="F276" s="220"/>
      <c r="G276" s="222"/>
      <c r="H276" s="222"/>
      <c r="I276" s="222"/>
      <c r="J276" s="222"/>
      <c r="K276" s="222"/>
      <c r="L276" s="222"/>
      <c r="M276" s="222"/>
      <c r="N276" s="222"/>
      <c r="O276" s="222"/>
      <c r="P276" s="222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  <c r="AG276" s="183"/>
      <c r="AH276" s="183"/>
      <c r="AI276" s="183"/>
      <c r="AJ276" s="183"/>
      <c r="AK276" s="183"/>
      <c r="AL276" s="183"/>
      <c r="AM276" s="183"/>
      <c r="AN276" s="183"/>
    </row>
    <row r="277" spans="2:40">
      <c r="C277" s="183"/>
      <c r="D277" s="183"/>
      <c r="E277" s="183"/>
      <c r="F277" s="220"/>
      <c r="G277" s="220"/>
      <c r="H277" s="220"/>
      <c r="I277" s="220"/>
      <c r="J277" s="220"/>
      <c r="K277" s="220"/>
      <c r="L277" s="220"/>
      <c r="M277" s="220"/>
      <c r="N277" s="220"/>
      <c r="O277" s="220"/>
      <c r="P277" s="220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3"/>
      <c r="AB277" s="183"/>
      <c r="AC277" s="183"/>
      <c r="AD277" s="183"/>
      <c r="AE277" s="183"/>
      <c r="AF277" s="183"/>
      <c r="AG277" s="183"/>
      <c r="AH277" s="183"/>
      <c r="AI277" s="183"/>
      <c r="AJ277" s="183"/>
      <c r="AK277" s="183"/>
      <c r="AL277" s="183"/>
      <c r="AM277" s="183"/>
      <c r="AN277" s="183"/>
    </row>
    <row r="278" spans="2:40">
      <c r="C278" s="183"/>
      <c r="D278" s="183"/>
      <c r="E278" s="183"/>
      <c r="F278" s="220"/>
      <c r="G278" s="220"/>
      <c r="H278" s="220"/>
      <c r="I278" s="220"/>
      <c r="J278" s="220"/>
      <c r="K278" s="220"/>
      <c r="L278" s="220"/>
      <c r="M278" s="220"/>
      <c r="N278" s="220"/>
      <c r="O278" s="220"/>
      <c r="P278" s="220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  <c r="AF278" s="183"/>
      <c r="AG278" s="183"/>
      <c r="AH278" s="183"/>
      <c r="AI278" s="183"/>
      <c r="AJ278" s="183"/>
      <c r="AK278" s="183"/>
      <c r="AL278" s="183"/>
      <c r="AM278" s="183"/>
      <c r="AN278" s="183"/>
    </row>
    <row r="279" spans="2:40">
      <c r="C279" s="183"/>
      <c r="D279" s="183"/>
      <c r="E279" s="183"/>
      <c r="F279" s="183"/>
      <c r="G279" s="225"/>
      <c r="H279" s="225"/>
      <c r="I279" s="225"/>
      <c r="J279" s="225"/>
      <c r="K279" s="225"/>
      <c r="L279" s="225"/>
      <c r="M279" s="225"/>
      <c r="N279" s="225"/>
      <c r="O279" s="225"/>
      <c r="P279" s="225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  <c r="AF279" s="183"/>
      <c r="AG279" s="183"/>
      <c r="AH279" s="183"/>
      <c r="AI279" s="183"/>
      <c r="AJ279" s="183"/>
      <c r="AK279" s="183"/>
      <c r="AL279" s="183"/>
      <c r="AM279" s="183"/>
      <c r="AN279" s="183"/>
    </row>
    <row r="280" spans="2:40">
      <c r="C280" s="183"/>
      <c r="D280" s="183"/>
      <c r="E280" s="183"/>
      <c r="F280" s="183"/>
      <c r="G280" s="225"/>
      <c r="H280" s="225"/>
      <c r="I280" s="225"/>
      <c r="J280" s="225"/>
      <c r="K280" s="225"/>
      <c r="L280" s="225"/>
      <c r="M280" s="225"/>
      <c r="N280" s="225"/>
      <c r="O280" s="225"/>
      <c r="P280" s="225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  <c r="AF280" s="183"/>
      <c r="AG280" s="183"/>
      <c r="AH280" s="183"/>
      <c r="AI280" s="183"/>
      <c r="AJ280" s="183"/>
      <c r="AK280" s="183"/>
      <c r="AL280" s="183"/>
      <c r="AM280" s="183"/>
      <c r="AN280" s="183"/>
    </row>
    <row r="281" spans="2:40">
      <c r="C281" s="183"/>
      <c r="D281" s="183"/>
      <c r="E281" s="183"/>
      <c r="F281" s="223"/>
      <c r="G281" s="223"/>
      <c r="H281" s="223"/>
      <c r="I281" s="223"/>
      <c r="J281" s="223"/>
      <c r="K281" s="223"/>
      <c r="L281" s="223"/>
      <c r="M281" s="223"/>
      <c r="N281" s="223"/>
      <c r="O281" s="223"/>
      <c r="P281" s="22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3"/>
      <c r="AB281" s="183"/>
      <c r="AC281" s="183"/>
      <c r="AD281" s="183"/>
      <c r="AE281" s="183"/>
      <c r="AF281" s="183"/>
      <c r="AG281" s="183"/>
      <c r="AH281" s="183"/>
      <c r="AI281" s="183"/>
      <c r="AJ281" s="183"/>
      <c r="AK281" s="183"/>
      <c r="AL281" s="183"/>
      <c r="AM281" s="183"/>
      <c r="AN281" s="183"/>
    </row>
    <row r="282" spans="2:40">
      <c r="C282" s="183"/>
      <c r="D282" s="183"/>
      <c r="E282" s="183"/>
      <c r="F282" s="223"/>
      <c r="G282" s="223"/>
      <c r="H282" s="223"/>
      <c r="I282" s="223"/>
      <c r="J282" s="223"/>
      <c r="K282" s="223"/>
      <c r="L282" s="223"/>
      <c r="M282" s="223"/>
      <c r="N282" s="223"/>
      <c r="O282" s="223"/>
      <c r="P282" s="22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  <c r="AA282" s="183"/>
      <c r="AB282" s="183"/>
      <c r="AC282" s="183"/>
      <c r="AD282" s="183"/>
      <c r="AE282" s="183"/>
      <c r="AF282" s="183"/>
      <c r="AG282" s="183"/>
      <c r="AH282" s="183"/>
      <c r="AI282" s="183"/>
      <c r="AJ282" s="183"/>
      <c r="AK282" s="183"/>
      <c r="AL282" s="183"/>
      <c r="AM282" s="183"/>
      <c r="AN282" s="183"/>
    </row>
    <row r="283" spans="2:40">
      <c r="C283" s="183"/>
      <c r="D283" s="183"/>
      <c r="E283" s="183"/>
      <c r="F283" s="223"/>
      <c r="G283" s="223"/>
      <c r="H283" s="223"/>
      <c r="I283" s="223"/>
      <c r="J283" s="223"/>
      <c r="K283" s="223"/>
      <c r="L283" s="223"/>
      <c r="M283" s="223"/>
      <c r="N283" s="223"/>
      <c r="O283" s="223"/>
      <c r="P283" s="22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3"/>
      <c r="AG283" s="183"/>
      <c r="AH283" s="183"/>
      <c r="AI283" s="183"/>
      <c r="AJ283" s="183"/>
      <c r="AK283" s="183"/>
      <c r="AL283" s="183"/>
      <c r="AM283" s="183"/>
      <c r="AN283" s="183"/>
    </row>
    <row r="284" spans="2:40">
      <c r="C284" s="183"/>
      <c r="D284" s="183"/>
      <c r="E284" s="183"/>
      <c r="F284" s="223"/>
      <c r="G284" s="223"/>
      <c r="H284" s="223"/>
      <c r="I284" s="223"/>
      <c r="J284" s="223"/>
      <c r="K284" s="223"/>
      <c r="L284" s="223"/>
      <c r="M284" s="223"/>
      <c r="N284" s="223"/>
      <c r="O284" s="223"/>
      <c r="P284" s="223"/>
      <c r="Q284" s="183"/>
      <c r="R284" s="183"/>
      <c r="S284" s="183"/>
      <c r="T284" s="183"/>
      <c r="U284" s="183"/>
      <c r="V284" s="183"/>
      <c r="W284" s="183"/>
      <c r="X284" s="183"/>
      <c r="Y284" s="183"/>
      <c r="Z284" s="183"/>
      <c r="AA284" s="183"/>
      <c r="AB284" s="183"/>
      <c r="AC284" s="183"/>
      <c r="AD284" s="183"/>
      <c r="AE284" s="183"/>
      <c r="AF284" s="183"/>
      <c r="AG284" s="183"/>
      <c r="AH284" s="183"/>
      <c r="AI284" s="183"/>
      <c r="AJ284" s="183"/>
      <c r="AK284" s="183"/>
      <c r="AL284" s="183"/>
      <c r="AM284" s="183"/>
      <c r="AN284" s="183"/>
    </row>
    <row r="285" spans="2:40">
      <c r="C285" s="183"/>
      <c r="D285" s="183"/>
      <c r="E285" s="183"/>
      <c r="F285" s="223"/>
      <c r="G285" s="223"/>
      <c r="H285" s="223"/>
      <c r="I285" s="223"/>
      <c r="J285" s="223"/>
      <c r="K285" s="223"/>
      <c r="L285" s="223"/>
      <c r="M285" s="223"/>
      <c r="N285" s="223"/>
      <c r="O285" s="223"/>
      <c r="P285" s="223"/>
      <c r="Q285" s="183"/>
      <c r="R285" s="183"/>
      <c r="S285" s="183"/>
      <c r="T285" s="183"/>
      <c r="U285" s="183"/>
      <c r="V285" s="183"/>
      <c r="W285" s="183"/>
      <c r="X285" s="183"/>
      <c r="Y285" s="183"/>
      <c r="Z285" s="183"/>
      <c r="AA285" s="183"/>
      <c r="AB285" s="183"/>
      <c r="AC285" s="183"/>
      <c r="AD285" s="183"/>
      <c r="AE285" s="183"/>
      <c r="AF285" s="183"/>
      <c r="AG285" s="183"/>
      <c r="AH285" s="183"/>
      <c r="AI285" s="183"/>
      <c r="AJ285" s="183"/>
      <c r="AK285" s="183"/>
      <c r="AL285" s="183"/>
      <c r="AM285" s="183"/>
      <c r="AN285" s="183"/>
    </row>
    <row r="286" spans="2:40">
      <c r="C286" s="183"/>
      <c r="D286" s="183"/>
      <c r="E286" s="183"/>
      <c r="F286" s="223"/>
      <c r="G286" s="223"/>
      <c r="H286" s="223"/>
      <c r="I286" s="223"/>
      <c r="J286" s="223"/>
      <c r="K286" s="223"/>
      <c r="L286" s="223"/>
      <c r="M286" s="223"/>
      <c r="N286" s="223"/>
      <c r="O286" s="223"/>
      <c r="P286" s="223"/>
      <c r="Q286" s="183"/>
      <c r="R286" s="183"/>
      <c r="S286" s="183"/>
      <c r="T286" s="183"/>
      <c r="U286" s="183"/>
      <c r="V286" s="183"/>
      <c r="W286" s="183"/>
      <c r="X286" s="183"/>
      <c r="Y286" s="183"/>
      <c r="Z286" s="183"/>
      <c r="AA286" s="183"/>
      <c r="AB286" s="183"/>
      <c r="AC286" s="183"/>
      <c r="AD286" s="183"/>
      <c r="AE286" s="183"/>
      <c r="AF286" s="183"/>
      <c r="AG286" s="183"/>
      <c r="AH286" s="183"/>
      <c r="AI286" s="183"/>
      <c r="AJ286" s="183"/>
      <c r="AK286" s="183"/>
      <c r="AL286" s="183"/>
      <c r="AM286" s="183"/>
      <c r="AN286" s="183"/>
    </row>
    <row r="287" spans="2:40">
      <c r="C287" s="183"/>
      <c r="D287" s="183"/>
      <c r="E287" s="183"/>
      <c r="F287" s="223"/>
      <c r="G287" s="223"/>
      <c r="H287" s="223"/>
      <c r="I287" s="223"/>
      <c r="J287" s="223"/>
      <c r="K287" s="223"/>
      <c r="L287" s="223"/>
      <c r="M287" s="223"/>
      <c r="N287" s="223"/>
      <c r="O287" s="223"/>
      <c r="P287" s="223"/>
      <c r="Q287" s="183"/>
      <c r="R287" s="183"/>
      <c r="S287" s="183"/>
      <c r="T287" s="183"/>
      <c r="U287" s="183"/>
      <c r="V287" s="183"/>
      <c r="W287" s="183"/>
      <c r="X287" s="183"/>
      <c r="Y287" s="183"/>
      <c r="Z287" s="183"/>
      <c r="AA287" s="183"/>
      <c r="AB287" s="183"/>
      <c r="AC287" s="183"/>
      <c r="AD287" s="183"/>
      <c r="AE287" s="183"/>
      <c r="AF287" s="183"/>
      <c r="AG287" s="183"/>
      <c r="AH287" s="183"/>
      <c r="AI287" s="183"/>
      <c r="AJ287" s="183"/>
      <c r="AK287" s="183"/>
      <c r="AL287" s="183"/>
      <c r="AM287" s="183"/>
      <c r="AN287" s="183"/>
    </row>
    <row r="288" spans="2:40">
      <c r="C288" s="183"/>
      <c r="D288" s="183"/>
      <c r="E288" s="183"/>
      <c r="F288" s="223"/>
      <c r="G288" s="223"/>
      <c r="H288" s="223"/>
      <c r="I288" s="223"/>
      <c r="J288" s="223"/>
      <c r="K288" s="223"/>
      <c r="L288" s="223"/>
      <c r="M288" s="223"/>
      <c r="N288" s="223"/>
      <c r="O288" s="223"/>
      <c r="P288" s="223"/>
      <c r="Q288" s="183"/>
      <c r="R288" s="183"/>
      <c r="S288" s="183"/>
      <c r="T288" s="183"/>
      <c r="U288" s="183"/>
      <c r="V288" s="183"/>
      <c r="W288" s="183"/>
      <c r="X288" s="183"/>
      <c r="Y288" s="183"/>
      <c r="Z288" s="183"/>
      <c r="AA288" s="183"/>
      <c r="AB288" s="183"/>
      <c r="AC288" s="183"/>
      <c r="AD288" s="183"/>
      <c r="AE288" s="183"/>
      <c r="AF288" s="183"/>
      <c r="AG288" s="183"/>
      <c r="AH288" s="183"/>
      <c r="AI288" s="183"/>
      <c r="AJ288" s="183"/>
      <c r="AK288" s="183"/>
      <c r="AL288" s="183"/>
      <c r="AM288" s="183"/>
      <c r="AN288" s="183"/>
    </row>
    <row r="289" spans="2:40">
      <c r="B289" s="193"/>
      <c r="C289" s="183"/>
      <c r="D289" s="183"/>
      <c r="E289" s="183"/>
      <c r="F289" s="223"/>
      <c r="G289" s="223"/>
      <c r="H289" s="223"/>
      <c r="I289" s="223"/>
      <c r="J289" s="223"/>
      <c r="K289" s="223"/>
      <c r="L289" s="223"/>
      <c r="M289" s="223"/>
      <c r="N289" s="223"/>
      <c r="O289" s="223"/>
      <c r="P289" s="183"/>
      <c r="Q289" s="183"/>
      <c r="R289" s="183"/>
      <c r="S289" s="183"/>
      <c r="T289" s="183"/>
      <c r="U289" s="183"/>
      <c r="V289" s="183"/>
      <c r="W289" s="183"/>
      <c r="X289" s="183"/>
      <c r="Y289" s="183"/>
      <c r="Z289" s="183"/>
      <c r="AA289" s="183"/>
      <c r="AB289" s="183"/>
      <c r="AC289" s="183"/>
      <c r="AD289" s="183"/>
      <c r="AE289" s="183"/>
      <c r="AF289" s="183"/>
      <c r="AG289" s="183"/>
      <c r="AH289" s="183"/>
      <c r="AI289" s="183"/>
      <c r="AJ289" s="183"/>
      <c r="AK289" s="183"/>
      <c r="AL289" s="183"/>
      <c r="AM289" s="183"/>
      <c r="AN289" s="183"/>
    </row>
    <row r="290" spans="2:40">
      <c r="C290" s="183"/>
      <c r="D290" s="183"/>
      <c r="E290" s="183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183"/>
      <c r="R290" s="183"/>
      <c r="S290" s="183"/>
      <c r="T290" s="183"/>
      <c r="U290" s="183"/>
      <c r="V290" s="183"/>
      <c r="W290" s="183"/>
      <c r="X290" s="183"/>
      <c r="Y290" s="183"/>
      <c r="Z290" s="183"/>
      <c r="AA290" s="183"/>
      <c r="AB290" s="183"/>
      <c r="AC290" s="183"/>
      <c r="AD290" s="183"/>
      <c r="AE290" s="183"/>
      <c r="AF290" s="183"/>
      <c r="AG290" s="183"/>
      <c r="AH290" s="183"/>
      <c r="AI290" s="183"/>
      <c r="AJ290" s="183"/>
      <c r="AK290" s="183"/>
      <c r="AL290" s="183"/>
      <c r="AM290" s="183"/>
      <c r="AN290" s="183"/>
    </row>
    <row r="291" spans="2:40">
      <c r="B291" s="193"/>
      <c r="C291" s="183"/>
      <c r="D291" s="183"/>
      <c r="E291" s="183"/>
      <c r="F291" s="183"/>
      <c r="G291" s="183"/>
      <c r="H291" s="183"/>
      <c r="I291" s="183"/>
      <c r="J291" s="183"/>
      <c r="K291" s="183"/>
      <c r="L291" s="183"/>
      <c r="M291" s="183"/>
      <c r="N291" s="183"/>
      <c r="O291" s="183"/>
      <c r="P291" s="183"/>
      <c r="Q291" s="183"/>
      <c r="R291" s="183"/>
      <c r="S291" s="183"/>
      <c r="T291" s="183"/>
      <c r="U291" s="183"/>
      <c r="V291" s="183"/>
      <c r="W291" s="183"/>
      <c r="X291" s="183"/>
      <c r="Y291" s="183"/>
      <c r="Z291" s="183"/>
      <c r="AA291" s="183"/>
      <c r="AB291" s="183"/>
      <c r="AC291" s="183"/>
      <c r="AD291" s="183"/>
      <c r="AE291" s="183"/>
      <c r="AF291" s="183"/>
      <c r="AG291" s="183"/>
      <c r="AH291" s="183"/>
      <c r="AI291" s="183"/>
      <c r="AJ291" s="183"/>
      <c r="AK291" s="183"/>
      <c r="AL291" s="183"/>
      <c r="AM291" s="183"/>
      <c r="AN291" s="183"/>
    </row>
    <row r="292" spans="2:40">
      <c r="C292" s="183"/>
      <c r="D292" s="183"/>
      <c r="E292" s="183"/>
      <c r="F292" s="183"/>
      <c r="G292" s="225"/>
      <c r="H292" s="225"/>
      <c r="I292" s="225"/>
      <c r="J292" s="225"/>
      <c r="K292" s="225"/>
      <c r="L292" s="225"/>
      <c r="M292" s="225"/>
      <c r="N292" s="225"/>
      <c r="O292" s="225"/>
      <c r="P292" s="225"/>
      <c r="Q292" s="183"/>
      <c r="R292" s="183"/>
      <c r="S292" s="183"/>
      <c r="T292" s="183"/>
      <c r="U292" s="183"/>
      <c r="V292" s="183"/>
      <c r="W292" s="183"/>
      <c r="X292" s="183"/>
      <c r="Y292" s="183"/>
      <c r="Z292" s="183"/>
      <c r="AA292" s="183"/>
      <c r="AB292" s="183"/>
      <c r="AC292" s="183"/>
      <c r="AD292" s="183"/>
      <c r="AE292" s="183"/>
      <c r="AF292" s="183"/>
      <c r="AG292" s="183"/>
      <c r="AH292" s="183"/>
      <c r="AI292" s="183"/>
      <c r="AJ292" s="183"/>
      <c r="AK292" s="183"/>
      <c r="AL292" s="183"/>
      <c r="AM292" s="183"/>
      <c r="AN292" s="183"/>
    </row>
    <row r="293" spans="2:40">
      <c r="C293" s="183"/>
      <c r="D293" s="183"/>
      <c r="E293" s="183"/>
      <c r="F293" s="183"/>
      <c r="G293" s="225"/>
      <c r="H293" s="225"/>
      <c r="I293" s="225"/>
      <c r="J293" s="225"/>
      <c r="K293" s="225"/>
      <c r="L293" s="225"/>
      <c r="M293" s="225"/>
      <c r="N293" s="225"/>
      <c r="O293" s="225"/>
      <c r="P293" s="225"/>
      <c r="Q293" s="183"/>
      <c r="R293" s="183"/>
      <c r="S293" s="183"/>
      <c r="T293" s="183"/>
      <c r="U293" s="183"/>
      <c r="V293" s="183"/>
      <c r="W293" s="183"/>
      <c r="X293" s="183"/>
      <c r="Y293" s="183"/>
      <c r="Z293" s="183"/>
      <c r="AA293" s="183"/>
      <c r="AB293" s="183"/>
      <c r="AC293" s="183"/>
      <c r="AD293" s="183"/>
      <c r="AE293" s="183"/>
      <c r="AF293" s="183"/>
      <c r="AG293" s="183"/>
      <c r="AH293" s="183"/>
      <c r="AI293" s="183"/>
      <c r="AJ293" s="183"/>
      <c r="AK293" s="183"/>
      <c r="AL293" s="183"/>
      <c r="AM293" s="183"/>
      <c r="AN293" s="183"/>
    </row>
    <row r="294" spans="2:40">
      <c r="C294" s="183"/>
      <c r="D294" s="183"/>
      <c r="E294" s="183"/>
      <c r="F294" s="183"/>
      <c r="G294" s="225"/>
      <c r="H294" s="225"/>
      <c r="I294" s="225"/>
      <c r="J294" s="225"/>
      <c r="K294" s="225"/>
      <c r="L294" s="225"/>
      <c r="M294" s="225"/>
      <c r="N294" s="225"/>
      <c r="O294" s="225"/>
      <c r="P294" s="225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183"/>
      <c r="AE294" s="183"/>
      <c r="AF294" s="183"/>
      <c r="AG294" s="183"/>
      <c r="AH294" s="183"/>
      <c r="AI294" s="183"/>
      <c r="AJ294" s="183"/>
      <c r="AK294" s="183"/>
      <c r="AL294" s="183"/>
      <c r="AM294" s="183"/>
      <c r="AN294" s="183"/>
    </row>
    <row r="295" spans="2:40">
      <c r="C295" s="183"/>
      <c r="D295" s="183"/>
      <c r="E295" s="183"/>
      <c r="F295" s="183"/>
      <c r="G295" s="225"/>
      <c r="H295" s="225"/>
      <c r="I295" s="225"/>
      <c r="J295" s="225"/>
      <c r="K295" s="225"/>
      <c r="L295" s="225"/>
      <c r="M295" s="225"/>
      <c r="N295" s="225"/>
      <c r="O295" s="225"/>
      <c r="P295" s="225"/>
      <c r="Q295" s="183"/>
      <c r="R295" s="183"/>
      <c r="S295" s="183"/>
      <c r="T295" s="183"/>
      <c r="U295" s="183"/>
      <c r="V295" s="183"/>
      <c r="W295" s="183"/>
      <c r="X295" s="183"/>
      <c r="Y295" s="183"/>
      <c r="Z295" s="183"/>
      <c r="AA295" s="183"/>
      <c r="AB295" s="183"/>
      <c r="AC295" s="183"/>
      <c r="AD295" s="183"/>
      <c r="AE295" s="183"/>
      <c r="AF295" s="183"/>
      <c r="AG295" s="183"/>
      <c r="AH295" s="183"/>
      <c r="AI295" s="183"/>
      <c r="AJ295" s="183"/>
      <c r="AK295" s="183"/>
      <c r="AL295" s="183"/>
      <c r="AM295" s="183"/>
      <c r="AN295" s="183"/>
    </row>
    <row r="296" spans="2:40">
      <c r="C296" s="183"/>
      <c r="D296" s="183"/>
      <c r="E296" s="183"/>
      <c r="F296" s="183"/>
      <c r="G296" s="225"/>
      <c r="H296" s="225"/>
      <c r="I296" s="225"/>
      <c r="J296" s="225"/>
      <c r="K296" s="225"/>
      <c r="L296" s="225"/>
      <c r="M296" s="225"/>
      <c r="N296" s="225"/>
      <c r="O296" s="225"/>
      <c r="P296" s="225"/>
      <c r="Q296" s="183"/>
      <c r="R296" s="183"/>
      <c r="S296" s="183"/>
      <c r="T296" s="183"/>
      <c r="U296" s="183"/>
      <c r="V296" s="183"/>
      <c r="W296" s="183"/>
      <c r="X296" s="183"/>
      <c r="Y296" s="183"/>
      <c r="Z296" s="183"/>
      <c r="AA296" s="183"/>
      <c r="AB296" s="183"/>
      <c r="AC296" s="183"/>
      <c r="AD296" s="183"/>
      <c r="AE296" s="183"/>
      <c r="AF296" s="183"/>
      <c r="AG296" s="183"/>
      <c r="AH296" s="183"/>
      <c r="AI296" s="183"/>
      <c r="AJ296" s="183"/>
      <c r="AK296" s="183"/>
      <c r="AL296" s="183"/>
      <c r="AM296" s="183"/>
      <c r="AN296" s="183"/>
    </row>
    <row r="297" spans="2:40">
      <c r="C297" s="183"/>
      <c r="D297" s="183"/>
      <c r="E297" s="183"/>
      <c r="F297" s="183"/>
      <c r="G297" s="225"/>
      <c r="H297" s="225"/>
      <c r="I297" s="225"/>
      <c r="J297" s="225"/>
      <c r="K297" s="225"/>
      <c r="L297" s="225"/>
      <c r="M297" s="225"/>
      <c r="N297" s="225"/>
      <c r="O297" s="225"/>
      <c r="P297" s="225"/>
      <c r="Q297" s="183"/>
      <c r="R297" s="183"/>
      <c r="S297" s="183"/>
      <c r="T297" s="183"/>
      <c r="U297" s="183"/>
      <c r="V297" s="183"/>
      <c r="W297" s="183"/>
      <c r="X297" s="183"/>
      <c r="Y297" s="183"/>
      <c r="Z297" s="183"/>
      <c r="AA297" s="183"/>
      <c r="AB297" s="183"/>
      <c r="AC297" s="183"/>
      <c r="AD297" s="183"/>
      <c r="AE297" s="183"/>
      <c r="AF297" s="183"/>
      <c r="AG297" s="183"/>
      <c r="AH297" s="183"/>
      <c r="AI297" s="183"/>
      <c r="AJ297" s="183"/>
      <c r="AK297" s="183"/>
      <c r="AL297" s="183"/>
      <c r="AM297" s="183"/>
      <c r="AN297" s="183"/>
    </row>
    <row r="298" spans="2:40">
      <c r="C298" s="183"/>
      <c r="D298" s="183"/>
      <c r="E298" s="183"/>
      <c r="F298" s="183"/>
      <c r="G298" s="225"/>
      <c r="H298" s="225"/>
      <c r="I298" s="225"/>
      <c r="J298" s="225"/>
      <c r="K298" s="225"/>
      <c r="L298" s="225"/>
      <c r="M298" s="225"/>
      <c r="N298" s="225"/>
      <c r="O298" s="225"/>
      <c r="P298" s="225"/>
      <c r="Q298" s="183"/>
      <c r="R298" s="183"/>
      <c r="S298" s="183"/>
      <c r="T298" s="183"/>
      <c r="U298" s="183"/>
      <c r="V298" s="183"/>
      <c r="W298" s="183"/>
      <c r="X298" s="183"/>
      <c r="Y298" s="183"/>
      <c r="Z298" s="183"/>
      <c r="AA298" s="183"/>
      <c r="AB298" s="183"/>
      <c r="AC298" s="183"/>
      <c r="AD298" s="183"/>
      <c r="AE298" s="183"/>
      <c r="AF298" s="183"/>
      <c r="AG298" s="183"/>
      <c r="AH298" s="183"/>
      <c r="AI298" s="183"/>
      <c r="AJ298" s="183"/>
      <c r="AK298" s="183"/>
      <c r="AL298" s="183"/>
      <c r="AM298" s="183"/>
      <c r="AN298" s="183"/>
    </row>
    <row r="299" spans="2:40">
      <c r="C299" s="183"/>
      <c r="D299" s="183"/>
      <c r="E299" s="183"/>
      <c r="F299" s="183"/>
      <c r="G299" s="225"/>
      <c r="H299" s="225"/>
      <c r="I299" s="225"/>
      <c r="J299" s="225"/>
      <c r="K299" s="225"/>
      <c r="L299" s="225"/>
      <c r="M299" s="225"/>
      <c r="N299" s="225"/>
      <c r="O299" s="225"/>
      <c r="P299" s="225"/>
      <c r="Q299" s="183"/>
      <c r="R299" s="183"/>
      <c r="S299" s="183"/>
      <c r="T299" s="183"/>
      <c r="U299" s="183"/>
      <c r="V299" s="183"/>
      <c r="W299" s="183"/>
      <c r="X299" s="183"/>
      <c r="Y299" s="183"/>
      <c r="Z299" s="183"/>
      <c r="AA299" s="183"/>
      <c r="AB299" s="183"/>
      <c r="AC299" s="183"/>
      <c r="AD299" s="183"/>
      <c r="AE299" s="183"/>
      <c r="AF299" s="183"/>
      <c r="AG299" s="183"/>
      <c r="AH299" s="183"/>
      <c r="AI299" s="183"/>
      <c r="AJ299" s="183"/>
      <c r="AK299" s="183"/>
      <c r="AL299" s="183"/>
      <c r="AM299" s="183"/>
      <c r="AN299" s="183"/>
    </row>
    <row r="300" spans="2:40">
      <c r="C300" s="183"/>
      <c r="D300" s="183"/>
      <c r="E300" s="183"/>
      <c r="F300" s="183"/>
      <c r="G300" s="225"/>
      <c r="H300" s="225"/>
      <c r="I300" s="225"/>
      <c r="J300" s="225"/>
      <c r="K300" s="225"/>
      <c r="L300" s="225"/>
      <c r="M300" s="225"/>
      <c r="N300" s="225"/>
      <c r="O300" s="225"/>
      <c r="P300" s="225"/>
      <c r="Q300" s="183"/>
      <c r="R300" s="183"/>
      <c r="S300" s="183"/>
      <c r="T300" s="183"/>
      <c r="U300" s="183"/>
      <c r="V300" s="183"/>
      <c r="W300" s="183"/>
      <c r="X300" s="183"/>
      <c r="Y300" s="183"/>
      <c r="Z300" s="183"/>
      <c r="AA300" s="183"/>
      <c r="AB300" s="183"/>
      <c r="AC300" s="183"/>
      <c r="AD300" s="183"/>
      <c r="AE300" s="183"/>
      <c r="AF300" s="183"/>
      <c r="AG300" s="183"/>
      <c r="AH300" s="183"/>
      <c r="AI300" s="183"/>
      <c r="AJ300" s="183"/>
      <c r="AK300" s="183"/>
      <c r="AL300" s="183"/>
      <c r="AM300" s="183"/>
      <c r="AN300" s="183"/>
    </row>
    <row r="301" spans="2:40">
      <c r="C301" s="183"/>
      <c r="D301" s="183"/>
      <c r="E301" s="183"/>
      <c r="F301" s="183"/>
      <c r="G301" s="225"/>
      <c r="H301" s="225"/>
      <c r="I301" s="225"/>
      <c r="J301" s="225"/>
      <c r="K301" s="225"/>
      <c r="L301" s="225"/>
      <c r="M301" s="225"/>
      <c r="N301" s="225"/>
      <c r="O301" s="225"/>
      <c r="P301" s="225"/>
      <c r="Q301" s="183"/>
      <c r="R301" s="183"/>
      <c r="S301" s="183"/>
      <c r="T301" s="183"/>
      <c r="U301" s="183"/>
      <c r="V301" s="183"/>
      <c r="W301" s="183"/>
      <c r="X301" s="183"/>
      <c r="Y301" s="183"/>
      <c r="Z301" s="183"/>
      <c r="AA301" s="183"/>
      <c r="AB301" s="183"/>
      <c r="AC301" s="183"/>
      <c r="AD301" s="183"/>
      <c r="AE301" s="183"/>
      <c r="AF301" s="183"/>
      <c r="AG301" s="183"/>
      <c r="AH301" s="183"/>
      <c r="AI301" s="183"/>
      <c r="AJ301" s="183"/>
      <c r="AK301" s="183"/>
      <c r="AL301" s="183"/>
      <c r="AM301" s="183"/>
      <c r="AN301" s="183"/>
    </row>
    <row r="302" spans="2:40">
      <c r="B302" s="193"/>
      <c r="C302" s="183"/>
      <c r="D302" s="183"/>
      <c r="E302" s="183"/>
      <c r="F302" s="183"/>
      <c r="G302" s="183"/>
      <c r="H302" s="183"/>
      <c r="I302" s="183"/>
      <c r="J302" s="183"/>
      <c r="K302" s="183"/>
      <c r="L302" s="183"/>
      <c r="M302" s="183"/>
      <c r="N302" s="183"/>
      <c r="O302" s="183"/>
      <c r="P302" s="183"/>
      <c r="Q302" s="183"/>
      <c r="R302" s="183"/>
      <c r="S302" s="183"/>
      <c r="T302" s="183"/>
      <c r="U302" s="183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</row>
    <row r="303" spans="2:40">
      <c r="C303" s="183"/>
      <c r="D303" s="183"/>
      <c r="E303" s="183"/>
      <c r="F303" s="183"/>
      <c r="G303" s="183"/>
      <c r="H303" s="183"/>
      <c r="I303" s="183"/>
      <c r="J303" s="183"/>
      <c r="K303" s="183"/>
      <c r="L303" s="183"/>
      <c r="M303" s="183"/>
      <c r="N303" s="183"/>
      <c r="O303" s="183"/>
      <c r="P303" s="183"/>
      <c r="Q303" s="183"/>
      <c r="R303" s="183"/>
      <c r="S303" s="183"/>
      <c r="T303" s="183"/>
      <c r="U303" s="183"/>
      <c r="V303" s="183"/>
      <c r="W303" s="183"/>
      <c r="X303" s="183"/>
      <c r="Y303" s="183"/>
      <c r="Z303" s="183"/>
      <c r="AA303" s="183"/>
      <c r="AB303" s="183"/>
      <c r="AC303" s="183"/>
      <c r="AD303" s="183"/>
      <c r="AE303" s="183"/>
      <c r="AF303" s="183"/>
      <c r="AG303" s="183"/>
      <c r="AH303" s="183"/>
      <c r="AI303" s="183"/>
      <c r="AJ303" s="183"/>
      <c r="AK303" s="183"/>
      <c r="AL303" s="183"/>
      <c r="AM303" s="183"/>
      <c r="AN303" s="183"/>
    </row>
    <row r="304" spans="2:40">
      <c r="C304" s="183"/>
      <c r="D304" s="183"/>
      <c r="E304" s="183"/>
      <c r="F304" s="183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183"/>
      <c r="R304" s="183"/>
      <c r="S304" s="183"/>
      <c r="T304" s="183"/>
      <c r="U304" s="183"/>
      <c r="V304" s="183"/>
      <c r="W304" s="183"/>
      <c r="X304" s="183"/>
      <c r="Y304" s="183"/>
      <c r="Z304" s="183"/>
      <c r="AA304" s="183"/>
      <c r="AB304" s="183"/>
      <c r="AC304" s="183"/>
      <c r="AD304" s="183"/>
      <c r="AE304" s="183"/>
      <c r="AF304" s="183"/>
      <c r="AG304" s="183"/>
      <c r="AH304" s="183"/>
      <c r="AI304" s="183"/>
      <c r="AJ304" s="183"/>
      <c r="AK304" s="183"/>
      <c r="AL304" s="183"/>
      <c r="AM304" s="183"/>
      <c r="AN304" s="183"/>
    </row>
    <row r="305" spans="3:40">
      <c r="C305" s="183"/>
      <c r="D305" s="183"/>
      <c r="E305" s="183"/>
      <c r="F305" s="183"/>
      <c r="G305" s="225"/>
      <c r="H305" s="225"/>
      <c r="I305" s="225"/>
      <c r="J305" s="225"/>
      <c r="K305" s="225"/>
      <c r="L305" s="225"/>
      <c r="M305" s="225"/>
      <c r="N305" s="225"/>
      <c r="O305" s="225"/>
      <c r="P305" s="225"/>
      <c r="Q305" s="183"/>
      <c r="R305" s="183"/>
      <c r="S305" s="183"/>
      <c r="T305" s="183"/>
      <c r="U305" s="183"/>
      <c r="V305" s="183"/>
      <c r="W305" s="183"/>
      <c r="X305" s="183"/>
      <c r="Y305" s="183"/>
      <c r="Z305" s="183"/>
      <c r="AA305" s="183"/>
      <c r="AB305" s="183"/>
      <c r="AC305" s="183"/>
      <c r="AD305" s="183"/>
      <c r="AE305" s="183"/>
      <c r="AF305" s="183"/>
      <c r="AG305" s="183"/>
      <c r="AH305" s="183"/>
      <c r="AI305" s="183"/>
      <c r="AJ305" s="183"/>
      <c r="AK305" s="183"/>
      <c r="AL305" s="183"/>
      <c r="AM305" s="183"/>
      <c r="AN305" s="183"/>
    </row>
    <row r="306" spans="3:40">
      <c r="C306" s="183"/>
      <c r="D306" s="183"/>
      <c r="E306" s="183"/>
      <c r="F306" s="183"/>
      <c r="G306" s="225"/>
      <c r="H306" s="225"/>
      <c r="I306" s="225"/>
      <c r="J306" s="225"/>
      <c r="K306" s="225"/>
      <c r="L306" s="225"/>
      <c r="M306" s="225"/>
      <c r="N306" s="225"/>
      <c r="O306" s="225"/>
      <c r="P306" s="225"/>
      <c r="Q306" s="183"/>
      <c r="R306" s="183"/>
      <c r="S306" s="183"/>
      <c r="T306" s="183"/>
      <c r="U306" s="183"/>
      <c r="V306" s="183"/>
      <c r="W306" s="183"/>
      <c r="X306" s="183"/>
      <c r="Y306" s="183"/>
      <c r="Z306" s="183"/>
      <c r="AA306" s="183"/>
      <c r="AB306" s="183"/>
      <c r="AC306" s="183"/>
      <c r="AD306" s="183"/>
      <c r="AE306" s="183"/>
      <c r="AF306" s="183"/>
      <c r="AG306" s="183"/>
      <c r="AH306" s="183"/>
      <c r="AI306" s="183"/>
      <c r="AJ306" s="183"/>
      <c r="AK306" s="183"/>
      <c r="AL306" s="183"/>
      <c r="AM306" s="183"/>
      <c r="AN306" s="183"/>
    </row>
    <row r="307" spans="3:40">
      <c r="C307" s="183"/>
      <c r="D307" s="183"/>
      <c r="E307" s="183"/>
      <c r="F307" s="183"/>
      <c r="G307" s="225"/>
      <c r="H307" s="225"/>
      <c r="I307" s="225"/>
      <c r="J307" s="225"/>
      <c r="K307" s="225"/>
      <c r="L307" s="225"/>
      <c r="M307" s="225"/>
      <c r="N307" s="225"/>
      <c r="O307" s="225"/>
      <c r="P307" s="225"/>
      <c r="Q307" s="183"/>
      <c r="R307" s="183"/>
      <c r="S307" s="183"/>
      <c r="T307" s="183"/>
      <c r="U307" s="183"/>
      <c r="V307" s="183"/>
      <c r="W307" s="183"/>
      <c r="X307" s="183"/>
      <c r="Y307" s="183"/>
      <c r="Z307" s="183"/>
      <c r="AA307" s="183"/>
      <c r="AB307" s="183"/>
      <c r="AC307" s="183"/>
      <c r="AD307" s="183"/>
      <c r="AE307" s="183"/>
      <c r="AF307" s="183"/>
      <c r="AG307" s="183"/>
      <c r="AH307" s="183"/>
      <c r="AI307" s="183"/>
      <c r="AJ307" s="183"/>
      <c r="AK307" s="183"/>
      <c r="AL307" s="183"/>
      <c r="AM307" s="183"/>
      <c r="AN307" s="183"/>
    </row>
    <row r="308" spans="3:40">
      <c r="C308" s="183"/>
      <c r="D308" s="183"/>
      <c r="E308" s="183"/>
      <c r="F308" s="183"/>
      <c r="G308" s="225"/>
      <c r="H308" s="225"/>
      <c r="I308" s="225"/>
      <c r="J308" s="225"/>
      <c r="K308" s="225"/>
      <c r="L308" s="225"/>
      <c r="M308" s="225"/>
      <c r="N308" s="225"/>
      <c r="O308" s="225"/>
      <c r="P308" s="225"/>
      <c r="Q308" s="183"/>
      <c r="R308" s="183"/>
      <c r="S308" s="183"/>
      <c r="T308" s="183"/>
      <c r="U308" s="183"/>
      <c r="V308" s="183"/>
      <c r="W308" s="183"/>
      <c r="X308" s="183"/>
      <c r="Y308" s="183"/>
      <c r="Z308" s="183"/>
      <c r="AA308" s="183"/>
      <c r="AB308" s="183"/>
      <c r="AC308" s="183"/>
      <c r="AD308" s="183"/>
      <c r="AE308" s="183"/>
      <c r="AF308" s="183"/>
      <c r="AG308" s="183"/>
      <c r="AH308" s="183"/>
      <c r="AI308" s="183"/>
      <c r="AJ308" s="183"/>
      <c r="AK308" s="183"/>
      <c r="AL308" s="183"/>
      <c r="AM308" s="183"/>
      <c r="AN308" s="183"/>
    </row>
    <row r="309" spans="3:40">
      <c r="C309" s="183"/>
      <c r="D309" s="183"/>
      <c r="E309" s="183"/>
      <c r="F309" s="183"/>
      <c r="G309" s="225"/>
      <c r="H309" s="225"/>
      <c r="I309" s="225"/>
      <c r="J309" s="225"/>
      <c r="K309" s="225"/>
      <c r="L309" s="225"/>
      <c r="M309" s="225"/>
      <c r="N309" s="225"/>
      <c r="O309" s="225"/>
      <c r="P309" s="225"/>
      <c r="Q309" s="183"/>
      <c r="R309" s="183"/>
      <c r="S309" s="183"/>
      <c r="T309" s="183"/>
      <c r="U309" s="183"/>
      <c r="V309" s="183"/>
      <c r="W309" s="183"/>
      <c r="X309" s="183"/>
      <c r="Y309" s="183"/>
      <c r="Z309" s="183"/>
      <c r="AA309" s="183"/>
      <c r="AB309" s="183"/>
      <c r="AC309" s="183"/>
      <c r="AD309" s="183"/>
      <c r="AE309" s="183"/>
      <c r="AF309" s="183"/>
      <c r="AG309" s="183"/>
      <c r="AH309" s="183"/>
      <c r="AI309" s="183"/>
      <c r="AJ309" s="183"/>
      <c r="AK309" s="183"/>
      <c r="AL309" s="183"/>
      <c r="AM309" s="183"/>
      <c r="AN309" s="183"/>
    </row>
    <row r="310" spans="3:40">
      <c r="C310" s="183"/>
      <c r="D310" s="183"/>
      <c r="E310" s="183"/>
      <c r="F310" s="183"/>
      <c r="G310" s="225"/>
      <c r="H310" s="225"/>
      <c r="I310" s="225"/>
      <c r="J310" s="225"/>
      <c r="K310" s="225"/>
      <c r="L310" s="225"/>
      <c r="M310" s="225"/>
      <c r="N310" s="225"/>
      <c r="O310" s="225"/>
      <c r="P310" s="225"/>
      <c r="Q310" s="183"/>
      <c r="R310" s="183"/>
      <c r="S310" s="183"/>
      <c r="T310" s="183"/>
      <c r="U310" s="183"/>
      <c r="V310" s="183"/>
      <c r="W310" s="183"/>
      <c r="X310" s="183"/>
      <c r="Y310" s="183"/>
      <c r="Z310" s="183"/>
      <c r="AA310" s="183"/>
      <c r="AB310" s="183"/>
      <c r="AC310" s="183"/>
      <c r="AD310" s="183"/>
      <c r="AE310" s="183"/>
      <c r="AF310" s="183"/>
      <c r="AG310" s="183"/>
      <c r="AH310" s="183"/>
      <c r="AI310" s="183"/>
      <c r="AJ310" s="183"/>
      <c r="AK310" s="183"/>
      <c r="AL310" s="183"/>
      <c r="AM310" s="183"/>
      <c r="AN310" s="183"/>
    </row>
    <row r="311" spans="3:40">
      <c r="C311" s="183"/>
      <c r="D311" s="183"/>
      <c r="E311" s="183"/>
      <c r="F311" s="183"/>
      <c r="G311" s="183"/>
      <c r="H311" s="183"/>
      <c r="I311" s="183"/>
      <c r="J311" s="183"/>
      <c r="K311" s="183"/>
      <c r="L311" s="183"/>
      <c r="M311" s="183"/>
      <c r="N311" s="183"/>
      <c r="O311" s="183"/>
      <c r="P311" s="183"/>
      <c r="Q311" s="183"/>
      <c r="R311" s="183"/>
      <c r="S311" s="183"/>
      <c r="T311" s="183"/>
      <c r="U311" s="183"/>
      <c r="V311" s="183"/>
      <c r="W311" s="183"/>
      <c r="X311" s="183"/>
      <c r="Y311" s="183"/>
      <c r="Z311" s="183"/>
      <c r="AA311" s="183"/>
      <c r="AB311" s="183"/>
      <c r="AC311" s="183"/>
      <c r="AD311" s="183"/>
      <c r="AE311" s="183"/>
      <c r="AF311" s="183"/>
      <c r="AG311" s="183"/>
      <c r="AH311" s="183"/>
      <c r="AI311" s="183"/>
      <c r="AJ311" s="183"/>
      <c r="AK311" s="183"/>
      <c r="AL311" s="183"/>
      <c r="AM311" s="183"/>
      <c r="AN311" s="183"/>
    </row>
    <row r="312" spans="3:40">
      <c r="C312" s="183"/>
      <c r="D312" s="183"/>
      <c r="E312" s="183"/>
      <c r="F312" s="183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3"/>
      <c r="R312" s="183"/>
      <c r="S312" s="183"/>
      <c r="T312" s="183"/>
      <c r="U312" s="183"/>
      <c r="V312" s="183"/>
      <c r="W312" s="183"/>
      <c r="X312" s="183"/>
      <c r="Y312" s="183"/>
      <c r="Z312" s="183"/>
      <c r="AA312" s="183"/>
      <c r="AB312" s="183"/>
      <c r="AC312" s="183"/>
      <c r="AD312" s="183"/>
      <c r="AE312" s="183"/>
      <c r="AF312" s="183"/>
      <c r="AG312" s="183"/>
      <c r="AH312" s="183"/>
      <c r="AI312" s="183"/>
      <c r="AJ312" s="183"/>
      <c r="AK312" s="183"/>
      <c r="AL312" s="183"/>
      <c r="AM312" s="183"/>
      <c r="AN312" s="183"/>
    </row>
    <row r="313" spans="3:40">
      <c r="C313" s="183"/>
      <c r="D313" s="183"/>
      <c r="E313" s="183"/>
      <c r="F313" s="183"/>
      <c r="G313" s="183"/>
      <c r="H313" s="183"/>
      <c r="I313" s="183"/>
      <c r="J313" s="183"/>
      <c r="K313" s="183"/>
      <c r="L313" s="183"/>
      <c r="M313" s="183"/>
      <c r="N313" s="183"/>
      <c r="O313" s="183"/>
      <c r="P313" s="183"/>
      <c r="Q313" s="183"/>
      <c r="R313" s="183"/>
      <c r="S313" s="183"/>
      <c r="T313" s="183"/>
      <c r="U313" s="183"/>
      <c r="V313" s="183"/>
      <c r="W313" s="183"/>
      <c r="X313" s="183"/>
      <c r="Y313" s="183"/>
      <c r="Z313" s="183"/>
      <c r="AA313" s="183"/>
      <c r="AB313" s="183"/>
      <c r="AC313" s="183"/>
      <c r="AD313" s="183"/>
      <c r="AE313" s="183"/>
      <c r="AF313" s="183"/>
      <c r="AG313" s="183"/>
      <c r="AH313" s="183"/>
      <c r="AI313" s="183"/>
      <c r="AJ313" s="183"/>
      <c r="AK313" s="183"/>
      <c r="AL313" s="183"/>
      <c r="AM313" s="183"/>
      <c r="AN313" s="183"/>
    </row>
    <row r="314" spans="3:40">
      <c r="C314" s="183"/>
      <c r="D314" s="183"/>
      <c r="E314" s="183"/>
      <c r="F314" s="183"/>
      <c r="G314" s="183"/>
      <c r="H314" s="183"/>
      <c r="I314" s="183"/>
      <c r="J314" s="183"/>
      <c r="K314" s="183"/>
      <c r="L314" s="183"/>
      <c r="M314" s="183"/>
      <c r="N314" s="183"/>
      <c r="O314" s="183"/>
      <c r="P314" s="183"/>
      <c r="Q314" s="183"/>
      <c r="R314" s="183"/>
      <c r="S314" s="183"/>
      <c r="T314" s="183"/>
      <c r="U314" s="183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  <c r="AG314" s="183"/>
      <c r="AH314" s="183"/>
      <c r="AI314" s="183"/>
      <c r="AJ314" s="183"/>
      <c r="AK314" s="183"/>
      <c r="AL314" s="183"/>
      <c r="AM314" s="183"/>
      <c r="AN314" s="183"/>
    </row>
    <row r="315" spans="3:40">
      <c r="C315" s="183"/>
      <c r="D315" s="183"/>
      <c r="E315" s="183"/>
      <c r="F315" s="183"/>
      <c r="G315" s="183"/>
      <c r="H315" s="183"/>
      <c r="I315" s="183"/>
      <c r="J315" s="183"/>
      <c r="K315" s="183"/>
      <c r="L315" s="183"/>
      <c r="M315" s="183"/>
      <c r="N315" s="183"/>
      <c r="O315" s="183"/>
      <c r="P315" s="183"/>
      <c r="Q315" s="183"/>
      <c r="R315" s="183"/>
      <c r="S315" s="183"/>
      <c r="T315" s="183"/>
      <c r="U315" s="183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  <c r="AG315" s="183"/>
      <c r="AH315" s="183"/>
      <c r="AI315" s="183"/>
      <c r="AJ315" s="183"/>
      <c r="AK315" s="183"/>
      <c r="AL315" s="183"/>
      <c r="AM315" s="183"/>
      <c r="AN315" s="183"/>
    </row>
    <row r="316" spans="3:40">
      <c r="C316" s="183"/>
      <c r="D316" s="183"/>
      <c r="E316" s="183"/>
      <c r="F316" s="183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183"/>
      <c r="R316" s="183"/>
      <c r="S316" s="183"/>
      <c r="T316" s="183"/>
      <c r="U316" s="183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  <c r="AG316" s="183"/>
      <c r="AH316" s="183"/>
      <c r="AI316" s="183"/>
      <c r="AJ316" s="183"/>
      <c r="AK316" s="183"/>
      <c r="AL316" s="183"/>
      <c r="AM316" s="183"/>
      <c r="AN316" s="183"/>
    </row>
    <row r="317" spans="3:40">
      <c r="C317" s="183"/>
      <c r="D317" s="183"/>
      <c r="E317" s="183"/>
      <c r="F317" s="183"/>
      <c r="G317" s="183"/>
      <c r="H317" s="183"/>
      <c r="I317" s="183"/>
      <c r="J317" s="183"/>
      <c r="K317" s="183"/>
      <c r="L317" s="183"/>
      <c r="M317" s="183"/>
      <c r="N317" s="183"/>
      <c r="O317" s="183"/>
      <c r="P317" s="183"/>
      <c r="Q317" s="183"/>
      <c r="R317" s="183"/>
      <c r="S317" s="183"/>
      <c r="T317" s="183"/>
      <c r="U317" s="183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  <c r="AG317" s="183"/>
      <c r="AH317" s="183"/>
      <c r="AI317" s="183"/>
      <c r="AJ317" s="183"/>
      <c r="AK317" s="183"/>
      <c r="AL317" s="183"/>
      <c r="AM317" s="183"/>
      <c r="AN317" s="183"/>
    </row>
    <row r="318" spans="3:40">
      <c r="C318" s="183"/>
      <c r="D318" s="183"/>
      <c r="E318" s="183"/>
      <c r="F318" s="183"/>
      <c r="G318" s="183"/>
      <c r="H318" s="183"/>
      <c r="I318" s="183"/>
      <c r="J318" s="183"/>
      <c r="K318" s="183"/>
      <c r="L318" s="183"/>
      <c r="M318" s="183"/>
      <c r="N318" s="183"/>
      <c r="O318" s="183"/>
      <c r="P318" s="183"/>
      <c r="Q318" s="183"/>
      <c r="R318" s="183"/>
      <c r="S318" s="183"/>
      <c r="T318" s="183"/>
      <c r="U318" s="183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  <c r="AG318" s="183"/>
      <c r="AH318" s="183"/>
      <c r="AI318" s="183"/>
      <c r="AJ318" s="183"/>
      <c r="AK318" s="183"/>
      <c r="AL318" s="183"/>
      <c r="AM318" s="183"/>
      <c r="AN318" s="183"/>
    </row>
    <row r="319" spans="3:40">
      <c r="C319" s="183"/>
      <c r="D319" s="183"/>
      <c r="E319" s="183"/>
      <c r="F319" s="183"/>
      <c r="G319" s="183"/>
      <c r="H319" s="183"/>
      <c r="I319" s="183"/>
      <c r="J319" s="183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183"/>
      <c r="AD319" s="183"/>
      <c r="AE319" s="183"/>
      <c r="AF319" s="183"/>
      <c r="AG319" s="183"/>
      <c r="AH319" s="183"/>
      <c r="AI319" s="183"/>
      <c r="AJ319" s="183"/>
      <c r="AK319" s="183"/>
      <c r="AL319" s="183"/>
      <c r="AM319" s="183"/>
      <c r="AN319" s="183"/>
    </row>
    <row r="320" spans="3:40">
      <c r="C320" s="183"/>
      <c r="D320" s="183"/>
      <c r="E320" s="183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</row>
    <row r="321" spans="3:40">
      <c r="C321" s="183"/>
      <c r="D321" s="183"/>
      <c r="E321" s="183"/>
      <c r="F321" s="183"/>
      <c r="G321" s="183"/>
      <c r="H321" s="183"/>
      <c r="I321" s="183"/>
      <c r="J321" s="183"/>
      <c r="K321" s="183"/>
      <c r="L321" s="183"/>
      <c r="M321" s="183"/>
      <c r="N321" s="183"/>
      <c r="O321" s="183"/>
      <c r="P321" s="183"/>
      <c r="Q321" s="183"/>
      <c r="R321" s="183"/>
      <c r="S321" s="183"/>
      <c r="T321" s="183"/>
      <c r="U321" s="183"/>
      <c r="V321" s="183"/>
      <c r="W321" s="183"/>
      <c r="X321" s="183"/>
      <c r="Y321" s="183"/>
      <c r="Z321" s="183"/>
      <c r="AA321" s="183"/>
      <c r="AB321" s="183"/>
      <c r="AC321" s="183"/>
      <c r="AD321" s="183"/>
      <c r="AE321" s="183"/>
      <c r="AF321" s="183"/>
      <c r="AG321" s="183"/>
      <c r="AH321" s="183"/>
      <c r="AI321" s="183"/>
      <c r="AJ321" s="183"/>
      <c r="AK321" s="183"/>
      <c r="AL321" s="183"/>
      <c r="AM321" s="183"/>
      <c r="AN321" s="183"/>
    </row>
    <row r="322" spans="3:40">
      <c r="C322" s="183"/>
      <c r="D322" s="183"/>
      <c r="E322" s="183"/>
      <c r="F322" s="183"/>
      <c r="G322" s="183"/>
      <c r="H322" s="183"/>
      <c r="I322" s="183"/>
      <c r="J322" s="183"/>
      <c r="K322" s="183"/>
      <c r="L322" s="183"/>
      <c r="M322" s="183"/>
      <c r="N322" s="183"/>
      <c r="O322" s="183"/>
      <c r="P322" s="183"/>
      <c r="Q322" s="183"/>
      <c r="R322" s="183"/>
      <c r="S322" s="183"/>
      <c r="T322" s="183"/>
      <c r="U322" s="183"/>
      <c r="V322" s="183"/>
      <c r="W322" s="183"/>
      <c r="X322" s="183"/>
      <c r="Y322" s="183"/>
      <c r="Z322" s="183"/>
      <c r="AA322" s="183"/>
      <c r="AB322" s="183"/>
      <c r="AC322" s="183"/>
      <c r="AD322" s="183"/>
      <c r="AE322" s="183"/>
      <c r="AF322" s="183"/>
      <c r="AG322" s="183"/>
      <c r="AH322" s="183"/>
      <c r="AI322" s="183"/>
      <c r="AJ322" s="183"/>
      <c r="AK322" s="183"/>
      <c r="AL322" s="183"/>
      <c r="AM322" s="183"/>
      <c r="AN322" s="183"/>
    </row>
    <row r="323" spans="3:40">
      <c r="C323" s="183"/>
      <c r="D323" s="183"/>
      <c r="E323" s="183"/>
      <c r="F323" s="183"/>
      <c r="G323" s="183"/>
      <c r="H323" s="183"/>
      <c r="I323" s="183"/>
      <c r="J323" s="183"/>
      <c r="K323" s="183"/>
      <c r="L323" s="183"/>
      <c r="M323" s="183"/>
      <c r="N323" s="183"/>
      <c r="O323" s="183"/>
      <c r="P323" s="183"/>
      <c r="Q323" s="183"/>
      <c r="R323" s="183"/>
      <c r="S323" s="183"/>
      <c r="T323" s="183"/>
      <c r="U323" s="183"/>
      <c r="V323" s="183"/>
      <c r="W323" s="183"/>
      <c r="X323" s="183"/>
      <c r="Y323" s="183"/>
      <c r="Z323" s="183"/>
      <c r="AA323" s="183"/>
      <c r="AB323" s="183"/>
      <c r="AC323" s="183"/>
      <c r="AD323" s="183"/>
      <c r="AE323" s="183"/>
      <c r="AF323" s="183"/>
      <c r="AG323" s="183"/>
      <c r="AH323" s="183"/>
      <c r="AI323" s="183"/>
      <c r="AJ323" s="183"/>
      <c r="AK323" s="183"/>
      <c r="AL323" s="183"/>
      <c r="AM323" s="183"/>
      <c r="AN323" s="183"/>
    </row>
    <row r="324" spans="3:40">
      <c r="C324" s="183"/>
      <c r="D324" s="183"/>
      <c r="E324" s="183"/>
      <c r="F324" s="183"/>
      <c r="G324" s="183"/>
      <c r="H324" s="183"/>
      <c r="I324" s="183"/>
      <c r="J324" s="183"/>
      <c r="K324" s="183"/>
      <c r="L324" s="183"/>
      <c r="M324" s="183"/>
      <c r="N324" s="183"/>
      <c r="O324" s="183"/>
      <c r="P324" s="183"/>
      <c r="Q324" s="183"/>
      <c r="R324" s="183"/>
      <c r="S324" s="183"/>
      <c r="T324" s="183"/>
      <c r="U324" s="183"/>
      <c r="V324" s="183"/>
      <c r="W324" s="183"/>
      <c r="X324" s="183"/>
      <c r="Y324" s="183"/>
      <c r="Z324" s="183"/>
      <c r="AA324" s="183"/>
      <c r="AB324" s="183"/>
      <c r="AC324" s="183"/>
      <c r="AD324" s="183"/>
      <c r="AE324" s="183"/>
      <c r="AF324" s="183"/>
      <c r="AG324" s="183"/>
      <c r="AH324" s="183"/>
      <c r="AI324" s="183"/>
      <c r="AJ324" s="183"/>
      <c r="AK324" s="183"/>
      <c r="AL324" s="183"/>
      <c r="AM324" s="183"/>
      <c r="AN324" s="183"/>
    </row>
    <row r="325" spans="3:40">
      <c r="C325" s="183"/>
      <c r="D325" s="183"/>
      <c r="E325" s="183"/>
      <c r="F325" s="183"/>
      <c r="G325" s="183"/>
      <c r="H325" s="183"/>
      <c r="I325" s="183"/>
      <c r="J325" s="183"/>
      <c r="K325" s="183"/>
      <c r="L325" s="183"/>
      <c r="M325" s="183"/>
      <c r="N325" s="183"/>
      <c r="O325" s="183"/>
      <c r="P325" s="183"/>
      <c r="Q325" s="183"/>
      <c r="R325" s="183"/>
      <c r="S325" s="183"/>
      <c r="T325" s="183"/>
      <c r="U325" s="183"/>
      <c r="V325" s="183"/>
      <c r="W325" s="183"/>
      <c r="X325" s="183"/>
      <c r="Y325" s="183"/>
      <c r="Z325" s="183"/>
      <c r="AA325" s="183"/>
      <c r="AB325" s="183"/>
      <c r="AC325" s="183"/>
      <c r="AD325" s="183"/>
      <c r="AE325" s="183"/>
      <c r="AF325" s="183"/>
      <c r="AG325" s="183"/>
      <c r="AH325" s="183"/>
      <c r="AI325" s="183"/>
      <c r="AJ325" s="183"/>
      <c r="AK325" s="183"/>
      <c r="AL325" s="183"/>
      <c r="AM325" s="183"/>
      <c r="AN325" s="183"/>
    </row>
    <row r="326" spans="3:40">
      <c r="C326" s="183"/>
      <c r="D326" s="183"/>
      <c r="E326" s="183"/>
      <c r="F326" s="183"/>
      <c r="G326" s="183"/>
      <c r="H326" s="183"/>
      <c r="I326" s="183"/>
      <c r="J326" s="183"/>
      <c r="K326" s="183"/>
      <c r="L326" s="183"/>
      <c r="M326" s="183"/>
      <c r="N326" s="183"/>
      <c r="O326" s="183"/>
      <c r="P326" s="183"/>
      <c r="Q326" s="183"/>
      <c r="R326" s="183"/>
      <c r="S326" s="183"/>
      <c r="T326" s="183"/>
      <c r="U326" s="183"/>
      <c r="V326" s="183"/>
      <c r="W326" s="183"/>
      <c r="X326" s="183"/>
      <c r="Y326" s="183"/>
      <c r="Z326" s="183"/>
      <c r="AA326" s="183"/>
      <c r="AB326" s="183"/>
      <c r="AC326" s="183"/>
      <c r="AD326" s="183"/>
      <c r="AE326" s="183"/>
      <c r="AF326" s="183"/>
      <c r="AG326" s="183"/>
      <c r="AH326" s="183"/>
      <c r="AI326" s="183"/>
      <c r="AJ326" s="183"/>
      <c r="AK326" s="183"/>
      <c r="AL326" s="183"/>
      <c r="AM326" s="183"/>
      <c r="AN326" s="183"/>
    </row>
    <row r="327" spans="3:40">
      <c r="C327" s="183"/>
      <c r="D327" s="183"/>
      <c r="E327" s="183"/>
      <c r="F327" s="183"/>
      <c r="G327" s="183"/>
      <c r="H327" s="183"/>
      <c r="I327" s="183"/>
      <c r="J327" s="183"/>
      <c r="K327" s="183"/>
      <c r="L327" s="183"/>
      <c r="M327" s="183"/>
      <c r="N327" s="183"/>
      <c r="O327" s="183"/>
      <c r="P327" s="183"/>
      <c r="Q327" s="183"/>
      <c r="R327" s="183"/>
      <c r="S327" s="183"/>
      <c r="T327" s="183"/>
      <c r="U327" s="183"/>
      <c r="V327" s="183"/>
      <c r="W327" s="183"/>
      <c r="X327" s="183"/>
      <c r="Y327" s="183"/>
      <c r="Z327" s="183"/>
      <c r="AA327" s="183"/>
      <c r="AB327" s="183"/>
      <c r="AC327" s="183"/>
      <c r="AD327" s="183"/>
      <c r="AE327" s="183"/>
      <c r="AF327" s="183"/>
      <c r="AG327" s="183"/>
      <c r="AH327" s="183"/>
      <c r="AI327" s="183"/>
      <c r="AJ327" s="183"/>
      <c r="AK327" s="183"/>
      <c r="AL327" s="183"/>
      <c r="AM327" s="183"/>
      <c r="AN327" s="183"/>
    </row>
    <row r="328" spans="3:40">
      <c r="C328" s="183"/>
      <c r="D328" s="183"/>
      <c r="E328" s="183"/>
      <c r="F328" s="183"/>
      <c r="G328" s="183"/>
      <c r="H328" s="183"/>
      <c r="I328" s="183"/>
      <c r="J328" s="183"/>
      <c r="K328" s="183"/>
      <c r="L328" s="183"/>
      <c r="M328" s="183"/>
      <c r="N328" s="183"/>
      <c r="O328" s="183"/>
      <c r="P328" s="183"/>
      <c r="Q328" s="183"/>
      <c r="R328" s="183"/>
      <c r="S328" s="183"/>
      <c r="T328" s="183"/>
      <c r="U328" s="183"/>
      <c r="V328" s="183"/>
      <c r="W328" s="183"/>
      <c r="X328" s="183"/>
      <c r="Y328" s="183"/>
      <c r="Z328" s="183"/>
      <c r="AA328" s="183"/>
      <c r="AB328" s="183"/>
      <c r="AC328" s="183"/>
      <c r="AD328" s="183"/>
      <c r="AE328" s="183"/>
      <c r="AF328" s="183"/>
      <c r="AG328" s="183"/>
      <c r="AH328" s="183"/>
      <c r="AI328" s="183"/>
      <c r="AJ328" s="183"/>
      <c r="AK328" s="183"/>
      <c r="AL328" s="183"/>
      <c r="AM328" s="183"/>
      <c r="AN328" s="183"/>
    </row>
    <row r="329" spans="3:40">
      <c r="C329" s="183"/>
      <c r="D329" s="183"/>
      <c r="E329" s="183"/>
      <c r="F329" s="183"/>
      <c r="G329" s="183"/>
      <c r="H329" s="183"/>
      <c r="I329" s="183"/>
      <c r="J329" s="183"/>
      <c r="K329" s="183"/>
      <c r="L329" s="183"/>
      <c r="M329" s="183"/>
      <c r="N329" s="183"/>
      <c r="O329" s="183"/>
      <c r="P329" s="183"/>
      <c r="Q329" s="183"/>
      <c r="R329" s="183"/>
      <c r="S329" s="183"/>
      <c r="T329" s="183"/>
      <c r="U329" s="183"/>
      <c r="V329" s="183"/>
      <c r="W329" s="183"/>
      <c r="X329" s="183"/>
      <c r="Y329" s="183"/>
      <c r="Z329" s="183"/>
      <c r="AA329" s="183"/>
      <c r="AB329" s="183"/>
      <c r="AC329" s="183"/>
      <c r="AD329" s="183"/>
      <c r="AE329" s="183"/>
      <c r="AF329" s="183"/>
      <c r="AG329" s="183"/>
      <c r="AH329" s="183"/>
      <c r="AI329" s="183"/>
      <c r="AJ329" s="183"/>
      <c r="AK329" s="183"/>
      <c r="AL329" s="183"/>
      <c r="AM329" s="183"/>
      <c r="AN329" s="183"/>
    </row>
    <row r="330" spans="3:40">
      <c r="C330" s="183"/>
      <c r="D330" s="183"/>
      <c r="E330" s="183"/>
      <c r="F330" s="183"/>
      <c r="G330" s="183"/>
      <c r="H330" s="183"/>
      <c r="I330" s="183"/>
      <c r="J330" s="183"/>
      <c r="K330" s="183"/>
      <c r="L330" s="183"/>
      <c r="M330" s="183"/>
      <c r="N330" s="183"/>
      <c r="O330" s="183"/>
      <c r="P330" s="183"/>
      <c r="Q330" s="183"/>
      <c r="R330" s="183"/>
      <c r="S330" s="183"/>
      <c r="T330" s="183"/>
      <c r="U330" s="183"/>
      <c r="V330" s="183"/>
      <c r="W330" s="183"/>
      <c r="X330" s="183"/>
      <c r="Y330" s="183"/>
      <c r="Z330" s="183"/>
      <c r="AA330" s="183"/>
      <c r="AB330" s="183"/>
      <c r="AC330" s="183"/>
      <c r="AD330" s="183"/>
      <c r="AE330" s="183"/>
      <c r="AF330" s="183"/>
      <c r="AG330" s="183"/>
      <c r="AH330" s="183"/>
      <c r="AI330" s="183"/>
      <c r="AJ330" s="183"/>
      <c r="AK330" s="183"/>
      <c r="AL330" s="183"/>
      <c r="AM330" s="183"/>
      <c r="AN330" s="183"/>
    </row>
    <row r="331" spans="3:40">
      <c r="C331" s="183"/>
      <c r="D331" s="183"/>
      <c r="E331" s="183"/>
      <c r="F331" s="183"/>
      <c r="G331" s="183"/>
      <c r="H331" s="183"/>
      <c r="I331" s="183"/>
      <c r="J331" s="183"/>
      <c r="K331" s="183"/>
      <c r="L331" s="183"/>
      <c r="M331" s="183"/>
      <c r="N331" s="183"/>
      <c r="O331" s="183"/>
      <c r="P331" s="183"/>
      <c r="Q331" s="183"/>
      <c r="R331" s="183"/>
      <c r="S331" s="183"/>
      <c r="T331" s="183"/>
      <c r="U331" s="183"/>
      <c r="V331" s="183"/>
      <c r="W331" s="183"/>
      <c r="X331" s="183"/>
      <c r="Y331" s="183"/>
      <c r="Z331" s="183"/>
      <c r="AA331" s="183"/>
      <c r="AB331" s="183"/>
      <c r="AC331" s="183"/>
      <c r="AD331" s="183"/>
      <c r="AE331" s="183"/>
      <c r="AF331" s="183"/>
      <c r="AG331" s="183"/>
      <c r="AH331" s="183"/>
      <c r="AI331" s="183"/>
      <c r="AJ331" s="183"/>
      <c r="AK331" s="183"/>
      <c r="AL331" s="183"/>
      <c r="AM331" s="183"/>
      <c r="AN331" s="183"/>
    </row>
    <row r="332" spans="3:40">
      <c r="C332" s="183"/>
      <c r="D332" s="183"/>
      <c r="E332" s="183"/>
      <c r="F332" s="183"/>
      <c r="G332" s="183"/>
      <c r="H332" s="183"/>
      <c r="I332" s="183"/>
      <c r="J332" s="183"/>
      <c r="K332" s="183"/>
      <c r="L332" s="183"/>
      <c r="M332" s="183"/>
      <c r="N332" s="183"/>
      <c r="O332" s="183"/>
      <c r="P332" s="183"/>
      <c r="Q332" s="183"/>
      <c r="R332" s="183"/>
      <c r="S332" s="183"/>
      <c r="T332" s="183"/>
      <c r="U332" s="183"/>
      <c r="V332" s="183"/>
      <c r="W332" s="183"/>
      <c r="X332" s="183"/>
      <c r="Y332" s="183"/>
      <c r="Z332" s="183"/>
      <c r="AA332" s="183"/>
      <c r="AB332" s="183"/>
      <c r="AC332" s="183"/>
      <c r="AD332" s="183"/>
      <c r="AE332" s="183"/>
      <c r="AF332" s="183"/>
      <c r="AG332" s="183"/>
      <c r="AH332" s="183"/>
      <c r="AI332" s="183"/>
      <c r="AJ332" s="183"/>
      <c r="AK332" s="183"/>
      <c r="AL332" s="183"/>
      <c r="AM332" s="183"/>
      <c r="AN332" s="183"/>
    </row>
    <row r="333" spans="3:40">
      <c r="C333" s="183"/>
      <c r="D333" s="183"/>
      <c r="E333" s="183"/>
      <c r="F333" s="183"/>
      <c r="G333" s="183"/>
      <c r="H333" s="183"/>
      <c r="I333" s="183"/>
      <c r="J333" s="183"/>
      <c r="K333" s="183"/>
      <c r="L333" s="183"/>
      <c r="M333" s="183"/>
      <c r="N333" s="183"/>
      <c r="O333" s="183"/>
      <c r="P333" s="183"/>
      <c r="Q333" s="183"/>
      <c r="R333" s="183"/>
      <c r="S333" s="183"/>
      <c r="T333" s="183"/>
      <c r="U333" s="183"/>
      <c r="V333" s="183"/>
      <c r="W333" s="183"/>
      <c r="X333" s="183"/>
      <c r="Y333" s="183"/>
      <c r="Z333" s="183"/>
      <c r="AA333" s="183"/>
      <c r="AB333" s="183"/>
      <c r="AC333" s="183"/>
      <c r="AD333" s="183"/>
      <c r="AE333" s="183"/>
      <c r="AF333" s="183"/>
      <c r="AG333" s="183"/>
      <c r="AH333" s="183"/>
      <c r="AI333" s="183"/>
      <c r="AJ333" s="183"/>
      <c r="AK333" s="183"/>
      <c r="AL333" s="183"/>
      <c r="AM333" s="183"/>
      <c r="AN333" s="183"/>
    </row>
    <row r="334" spans="3:40">
      <c r="C334" s="183"/>
      <c r="D334" s="183"/>
      <c r="E334" s="183"/>
      <c r="F334" s="183"/>
      <c r="G334" s="183"/>
      <c r="H334" s="183"/>
      <c r="I334" s="183"/>
      <c r="J334" s="183"/>
      <c r="K334" s="183"/>
      <c r="L334" s="183"/>
      <c r="M334" s="183"/>
      <c r="N334" s="183"/>
      <c r="O334" s="183"/>
      <c r="P334" s="183"/>
      <c r="Q334" s="183"/>
      <c r="R334" s="183"/>
      <c r="S334" s="183"/>
      <c r="T334" s="183"/>
      <c r="U334" s="183"/>
      <c r="V334" s="183"/>
      <c r="W334" s="183"/>
      <c r="X334" s="183"/>
      <c r="Y334" s="183"/>
      <c r="Z334" s="183"/>
      <c r="AA334" s="183"/>
      <c r="AB334" s="183"/>
      <c r="AC334" s="183"/>
      <c r="AD334" s="183"/>
      <c r="AE334" s="183"/>
      <c r="AF334" s="183"/>
      <c r="AG334" s="183"/>
      <c r="AH334" s="183"/>
      <c r="AI334" s="183"/>
      <c r="AJ334" s="183"/>
      <c r="AK334" s="183"/>
      <c r="AL334" s="183"/>
      <c r="AM334" s="183"/>
      <c r="AN334" s="183"/>
    </row>
    <row r="335" spans="3:40">
      <c r="C335" s="183"/>
      <c r="D335" s="183"/>
      <c r="E335" s="183"/>
      <c r="F335" s="183"/>
      <c r="G335" s="183"/>
      <c r="H335" s="183"/>
      <c r="I335" s="183"/>
      <c r="J335" s="183"/>
      <c r="K335" s="183"/>
      <c r="L335" s="183"/>
      <c r="M335" s="183"/>
      <c r="N335" s="183"/>
      <c r="O335" s="183"/>
      <c r="P335" s="183"/>
      <c r="Q335" s="183"/>
      <c r="R335" s="183"/>
      <c r="S335" s="183"/>
      <c r="T335" s="183"/>
      <c r="U335" s="183"/>
      <c r="V335" s="183"/>
      <c r="W335" s="183"/>
      <c r="X335" s="183"/>
      <c r="Y335" s="183"/>
      <c r="Z335" s="183"/>
      <c r="AA335" s="183"/>
      <c r="AB335" s="183"/>
      <c r="AC335" s="183"/>
      <c r="AD335" s="183"/>
      <c r="AE335" s="183"/>
      <c r="AF335" s="183"/>
      <c r="AG335" s="183"/>
      <c r="AH335" s="183"/>
      <c r="AI335" s="183"/>
      <c r="AJ335" s="183"/>
      <c r="AK335" s="183"/>
      <c r="AL335" s="183"/>
      <c r="AM335" s="183"/>
      <c r="AN335" s="183"/>
    </row>
    <row r="336" spans="3:40">
      <c r="C336" s="183"/>
      <c r="D336" s="183"/>
      <c r="E336" s="183"/>
      <c r="F336" s="183"/>
      <c r="G336" s="183"/>
      <c r="H336" s="183"/>
      <c r="I336" s="183"/>
      <c r="J336" s="183"/>
      <c r="K336" s="183"/>
      <c r="L336" s="183"/>
      <c r="M336" s="183"/>
      <c r="N336" s="183"/>
      <c r="O336" s="183"/>
      <c r="P336" s="183"/>
      <c r="Q336" s="183"/>
      <c r="R336" s="183"/>
      <c r="S336" s="183"/>
      <c r="T336" s="183"/>
      <c r="U336" s="183"/>
      <c r="V336" s="183"/>
      <c r="W336" s="183"/>
      <c r="X336" s="183"/>
      <c r="Y336" s="183"/>
      <c r="Z336" s="183"/>
      <c r="AA336" s="183"/>
      <c r="AB336" s="183"/>
      <c r="AC336" s="183"/>
      <c r="AD336" s="183"/>
      <c r="AE336" s="183"/>
      <c r="AF336" s="183"/>
      <c r="AG336" s="183"/>
      <c r="AH336" s="183"/>
      <c r="AI336" s="183"/>
      <c r="AJ336" s="183"/>
      <c r="AK336" s="183"/>
      <c r="AL336" s="183"/>
      <c r="AM336" s="183"/>
      <c r="AN336" s="183"/>
    </row>
    <row r="337" spans="2:40">
      <c r="C337" s="183"/>
      <c r="D337" s="183"/>
      <c r="E337" s="183"/>
      <c r="F337" s="183"/>
      <c r="G337" s="183"/>
      <c r="H337" s="183"/>
      <c r="I337" s="183"/>
      <c r="J337" s="183"/>
      <c r="K337" s="183"/>
      <c r="L337" s="183"/>
      <c r="M337" s="183"/>
      <c r="N337" s="183"/>
      <c r="O337" s="183"/>
      <c r="P337" s="183"/>
      <c r="Q337" s="183"/>
      <c r="R337" s="183"/>
      <c r="S337" s="183"/>
      <c r="T337" s="183"/>
      <c r="U337" s="183"/>
      <c r="V337" s="183"/>
      <c r="W337" s="183"/>
      <c r="X337" s="183"/>
      <c r="Y337" s="183"/>
      <c r="Z337" s="183"/>
      <c r="AA337" s="183"/>
      <c r="AB337" s="183"/>
      <c r="AC337" s="183"/>
      <c r="AD337" s="183"/>
      <c r="AE337" s="183"/>
      <c r="AF337" s="183"/>
      <c r="AG337" s="183"/>
      <c r="AH337" s="183"/>
      <c r="AI337" s="183"/>
      <c r="AJ337" s="183"/>
      <c r="AK337" s="183"/>
      <c r="AL337" s="183"/>
      <c r="AM337" s="183"/>
      <c r="AN337" s="183"/>
    </row>
    <row r="338" spans="2:40">
      <c r="C338" s="183"/>
      <c r="D338" s="183"/>
      <c r="E338" s="183"/>
      <c r="F338" s="183"/>
      <c r="G338" s="183"/>
      <c r="H338" s="183"/>
      <c r="I338" s="183"/>
      <c r="J338" s="183"/>
      <c r="K338" s="183"/>
      <c r="L338" s="183"/>
      <c r="M338" s="183"/>
      <c r="N338" s="183"/>
      <c r="O338" s="183"/>
      <c r="P338" s="183"/>
      <c r="Q338" s="183"/>
      <c r="R338" s="183"/>
      <c r="S338" s="183"/>
      <c r="T338" s="183"/>
      <c r="U338" s="183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</row>
    <row r="339" spans="2:40">
      <c r="C339" s="183"/>
      <c r="D339" s="183"/>
      <c r="E339" s="183"/>
      <c r="F339" s="183"/>
      <c r="G339" s="183"/>
      <c r="H339" s="183"/>
      <c r="I339" s="183"/>
      <c r="J339" s="183"/>
      <c r="K339" s="183"/>
      <c r="L339" s="183"/>
      <c r="M339" s="183"/>
      <c r="N339" s="183"/>
      <c r="O339" s="183"/>
      <c r="P339" s="183"/>
      <c r="Q339" s="183"/>
      <c r="R339" s="183"/>
      <c r="S339" s="183"/>
      <c r="T339" s="183"/>
      <c r="U339" s="183"/>
      <c r="V339" s="183"/>
      <c r="W339" s="183"/>
      <c r="X339" s="183"/>
      <c r="Y339" s="183"/>
      <c r="Z339" s="183"/>
      <c r="AA339" s="183"/>
      <c r="AB339" s="183"/>
      <c r="AC339" s="183"/>
      <c r="AD339" s="183"/>
      <c r="AE339" s="183"/>
      <c r="AF339" s="183"/>
      <c r="AG339" s="183"/>
      <c r="AH339" s="183"/>
      <c r="AI339" s="183"/>
      <c r="AJ339" s="183"/>
      <c r="AK339" s="183"/>
      <c r="AL339" s="183"/>
      <c r="AM339" s="183"/>
      <c r="AN339" s="183"/>
    </row>
    <row r="341" spans="2:40">
      <c r="B341" s="180" t="s">
        <v>541</v>
      </c>
      <c r="C341" s="180">
        <v>1998</v>
      </c>
      <c r="D341" s="180">
        <v>1999</v>
      </c>
      <c r="E341" s="180">
        <v>2000</v>
      </c>
      <c r="F341" s="180">
        <v>2001</v>
      </c>
      <c r="G341" s="180">
        <v>2002</v>
      </c>
      <c r="H341" s="180">
        <v>2003</v>
      </c>
      <c r="I341" s="180">
        <v>2004</v>
      </c>
      <c r="J341" s="180">
        <v>2005</v>
      </c>
      <c r="K341" s="180">
        <v>2006</v>
      </c>
      <c r="L341" s="180">
        <v>2007</v>
      </c>
      <c r="M341" s="180">
        <v>2008</v>
      </c>
      <c r="N341" s="180">
        <v>2009</v>
      </c>
      <c r="O341" s="180">
        <v>2010</v>
      </c>
      <c r="P341" s="180">
        <v>2011</v>
      </c>
      <c r="Q341" s="180">
        <v>2012</v>
      </c>
      <c r="R341" s="180">
        <v>2013</v>
      </c>
      <c r="S341" s="180">
        <v>2014</v>
      </c>
      <c r="T341" s="180">
        <v>2015</v>
      </c>
      <c r="U341" s="180">
        <v>2016</v>
      </c>
      <c r="V341" s="180">
        <v>2017</v>
      </c>
      <c r="W341" s="180">
        <v>2018</v>
      </c>
      <c r="X341" s="180">
        <f>X221</f>
        <v>2019</v>
      </c>
      <c r="Y341" s="180">
        <v>2020</v>
      </c>
      <c r="Z341" s="180">
        <v>2020</v>
      </c>
      <c r="AA341" s="180">
        <v>2020</v>
      </c>
      <c r="AB341" s="180">
        <v>2020</v>
      </c>
      <c r="AC341" s="180">
        <v>2020</v>
      </c>
      <c r="AD341" s="180">
        <v>2020</v>
      </c>
      <c r="AE341" s="180">
        <v>2020</v>
      </c>
      <c r="AF341" s="180">
        <v>2027</v>
      </c>
      <c r="AG341" s="180">
        <v>2028</v>
      </c>
      <c r="AH341" s="180">
        <v>2029</v>
      </c>
      <c r="AI341" s="180">
        <v>2030</v>
      </c>
      <c r="AJ341" s="180">
        <v>2031</v>
      </c>
      <c r="AK341" s="180">
        <v>2032</v>
      </c>
      <c r="AL341" s="180">
        <v>2033</v>
      </c>
      <c r="AM341" s="180">
        <v>2034</v>
      </c>
      <c r="AN341" s="180">
        <v>2035</v>
      </c>
    </row>
    <row r="342" spans="2:40">
      <c r="B342" s="181" t="s">
        <v>62</v>
      </c>
      <c r="C342" s="226"/>
      <c r="D342" s="226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3"/>
      <c r="W342" s="183"/>
      <c r="X342" s="183"/>
      <c r="Y342" s="183"/>
      <c r="Z342" s="183"/>
      <c r="AA342" s="183"/>
      <c r="AB342" s="183"/>
      <c r="AC342" s="183"/>
      <c r="AD342" s="183"/>
      <c r="AE342" s="183"/>
      <c r="AF342" s="183"/>
      <c r="AG342" s="183"/>
      <c r="AH342" s="183"/>
      <c r="AI342" s="183"/>
      <c r="AJ342" s="183"/>
      <c r="AK342" s="183"/>
      <c r="AL342" s="183"/>
      <c r="AM342" s="183"/>
      <c r="AN342" s="183"/>
    </row>
    <row r="343" spans="2:40">
      <c r="B343" s="181" t="s">
        <v>542</v>
      </c>
      <c r="C343" s="227"/>
      <c r="D343" s="227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3"/>
      <c r="W343" s="183"/>
      <c r="X343" s="183"/>
      <c r="Y343" s="183"/>
      <c r="Z343" s="183"/>
      <c r="AA343" s="183"/>
      <c r="AB343" s="183"/>
      <c r="AC343" s="183"/>
      <c r="AD343" s="183"/>
      <c r="AE343" s="183"/>
      <c r="AF343" s="183"/>
      <c r="AG343" s="183"/>
      <c r="AH343" s="183"/>
      <c r="AI343" s="183"/>
      <c r="AJ343" s="183"/>
      <c r="AK343" s="183"/>
      <c r="AL343" s="183"/>
      <c r="AM343" s="183"/>
      <c r="AN343" s="183"/>
    </row>
    <row r="344" spans="2:40">
      <c r="B344" s="181" t="s">
        <v>543</v>
      </c>
      <c r="C344" s="227"/>
      <c r="D344" s="227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3"/>
      <c r="W344" s="183"/>
      <c r="X344" s="183"/>
      <c r="Y344" s="183"/>
      <c r="Z344" s="183"/>
      <c r="AA344" s="183"/>
      <c r="AB344" s="183"/>
      <c r="AC344" s="183"/>
      <c r="AD344" s="183"/>
      <c r="AE344" s="183"/>
      <c r="AF344" s="183"/>
      <c r="AG344" s="183"/>
      <c r="AH344" s="183"/>
      <c r="AI344" s="183"/>
      <c r="AJ344" s="183"/>
      <c r="AK344" s="183"/>
      <c r="AL344" s="183"/>
      <c r="AM344" s="183"/>
      <c r="AN344" s="183"/>
    </row>
    <row r="345" spans="2:40">
      <c r="B345" s="181" t="s">
        <v>544</v>
      </c>
      <c r="C345" s="228"/>
      <c r="D345" s="228"/>
      <c r="E345" s="187"/>
      <c r="F345" s="187"/>
      <c r="G345" s="187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3"/>
      <c r="W345" s="183"/>
      <c r="X345" s="183"/>
      <c r="Y345" s="183"/>
      <c r="Z345" s="183"/>
      <c r="AA345" s="183"/>
      <c r="AB345" s="183"/>
      <c r="AC345" s="183"/>
      <c r="AD345" s="183"/>
      <c r="AE345" s="183"/>
      <c r="AF345" s="183"/>
      <c r="AG345" s="183"/>
      <c r="AH345" s="183"/>
      <c r="AI345" s="183"/>
      <c r="AJ345" s="183"/>
      <c r="AK345" s="183"/>
      <c r="AL345" s="183"/>
      <c r="AM345" s="183"/>
      <c r="AN345" s="183"/>
    </row>
    <row r="346" spans="2:40">
      <c r="B346" s="181" t="s">
        <v>545</v>
      </c>
      <c r="C346" s="227"/>
      <c r="D346" s="227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3"/>
      <c r="W346" s="183"/>
      <c r="X346" s="183"/>
      <c r="Y346" s="183"/>
      <c r="Z346" s="183"/>
      <c r="AA346" s="183"/>
      <c r="AB346" s="183"/>
      <c r="AC346" s="183"/>
      <c r="AD346" s="183"/>
      <c r="AE346" s="183"/>
      <c r="AF346" s="183"/>
      <c r="AG346" s="183"/>
      <c r="AH346" s="183"/>
      <c r="AI346" s="183"/>
      <c r="AJ346" s="183"/>
      <c r="AK346" s="183"/>
      <c r="AL346" s="183"/>
      <c r="AM346" s="183"/>
      <c r="AN346" s="183"/>
    </row>
    <row r="347" spans="2:40">
      <c r="B347" s="181" t="s">
        <v>546</v>
      </c>
      <c r="C347" s="227"/>
      <c r="D347" s="227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3"/>
      <c r="W347" s="183"/>
      <c r="X347" s="183"/>
      <c r="Y347" s="183"/>
      <c r="Z347" s="183"/>
      <c r="AA347" s="183"/>
      <c r="AB347" s="183"/>
      <c r="AC347" s="183"/>
      <c r="AD347" s="183"/>
      <c r="AE347" s="183"/>
      <c r="AF347" s="183"/>
      <c r="AG347" s="183"/>
      <c r="AH347" s="183"/>
      <c r="AI347" s="183"/>
      <c r="AJ347" s="183"/>
      <c r="AK347" s="183"/>
      <c r="AL347" s="183"/>
      <c r="AM347" s="183"/>
      <c r="AN347" s="183"/>
    </row>
    <row r="348" spans="2:40">
      <c r="B348" s="181" t="s">
        <v>547</v>
      </c>
      <c r="C348" s="227"/>
      <c r="D348" s="227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3"/>
      <c r="W348" s="183"/>
      <c r="X348" s="183"/>
      <c r="Y348" s="183"/>
      <c r="Z348" s="183"/>
      <c r="AA348" s="183"/>
      <c r="AB348" s="183"/>
      <c r="AC348" s="183"/>
      <c r="AD348" s="183"/>
      <c r="AE348" s="183"/>
      <c r="AF348" s="183"/>
      <c r="AG348" s="183"/>
      <c r="AH348" s="183"/>
      <c r="AI348" s="183"/>
      <c r="AJ348" s="183"/>
      <c r="AK348" s="183"/>
      <c r="AL348" s="183"/>
      <c r="AM348" s="183"/>
      <c r="AN348" s="183"/>
    </row>
    <row r="349" spans="2:40">
      <c r="B349" s="181" t="s">
        <v>548</v>
      </c>
      <c r="C349" s="229"/>
      <c r="D349" s="229"/>
      <c r="E349" s="230"/>
      <c r="F349" s="230"/>
      <c r="G349" s="230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3"/>
      <c r="W349" s="183"/>
      <c r="X349" s="183"/>
      <c r="Y349" s="183"/>
      <c r="Z349" s="183"/>
      <c r="AA349" s="183"/>
      <c r="AB349" s="183"/>
      <c r="AC349" s="183"/>
      <c r="AD349" s="183"/>
      <c r="AE349" s="183"/>
      <c r="AF349" s="183"/>
      <c r="AG349" s="183"/>
      <c r="AH349" s="183"/>
      <c r="AI349" s="183"/>
      <c r="AJ349" s="183"/>
      <c r="AK349" s="183"/>
      <c r="AL349" s="183"/>
      <c r="AM349" s="183"/>
      <c r="AN349" s="183"/>
    </row>
    <row r="350" spans="2:40">
      <c r="B350" s="181" t="s">
        <v>549</v>
      </c>
      <c r="C350" s="227"/>
      <c r="D350" s="227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3"/>
      <c r="W350" s="183"/>
      <c r="X350" s="183"/>
      <c r="Y350" s="183"/>
      <c r="Z350" s="183"/>
      <c r="AA350" s="183"/>
      <c r="AB350" s="183"/>
      <c r="AC350" s="183"/>
      <c r="AD350" s="183"/>
      <c r="AE350" s="183"/>
      <c r="AF350" s="183"/>
      <c r="AG350" s="183"/>
      <c r="AH350" s="183"/>
      <c r="AI350" s="183"/>
      <c r="AJ350" s="183"/>
      <c r="AK350" s="183"/>
      <c r="AL350" s="183"/>
      <c r="AM350" s="183"/>
      <c r="AN350" s="183"/>
    </row>
    <row r="351" spans="2:40">
      <c r="B351" s="181" t="s">
        <v>550</v>
      </c>
      <c r="C351" s="216"/>
      <c r="D351" s="216"/>
      <c r="E351" s="218"/>
      <c r="F351" s="218"/>
      <c r="G351" s="218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3"/>
      <c r="W351" s="183"/>
      <c r="X351" s="183"/>
      <c r="Y351" s="183"/>
      <c r="Z351" s="183"/>
      <c r="AA351" s="183"/>
      <c r="AB351" s="183"/>
      <c r="AC351" s="183"/>
      <c r="AD351" s="183"/>
      <c r="AE351" s="183"/>
      <c r="AF351" s="183"/>
      <c r="AG351" s="183"/>
      <c r="AH351" s="183"/>
      <c r="AI351" s="183"/>
      <c r="AJ351" s="183"/>
      <c r="AK351" s="183"/>
      <c r="AL351" s="183"/>
      <c r="AM351" s="183"/>
      <c r="AN351" s="183"/>
    </row>
    <row r="352" spans="2:40">
      <c r="B352" s="181" t="s">
        <v>551</v>
      </c>
      <c r="C352" s="231"/>
      <c r="D352" s="231"/>
      <c r="E352" s="218"/>
      <c r="F352" s="218"/>
      <c r="G352" s="218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3"/>
      <c r="W352" s="183"/>
      <c r="X352" s="183"/>
      <c r="Y352" s="183"/>
      <c r="Z352" s="183"/>
      <c r="AA352" s="183"/>
      <c r="AB352" s="183"/>
      <c r="AC352" s="183"/>
      <c r="AD352" s="183"/>
      <c r="AE352" s="183"/>
      <c r="AF352" s="183"/>
      <c r="AG352" s="183"/>
      <c r="AH352" s="183"/>
      <c r="AI352" s="183"/>
      <c r="AJ352" s="183"/>
      <c r="AK352" s="183"/>
      <c r="AL352" s="183"/>
      <c r="AM352" s="183"/>
      <c r="AN352" s="183"/>
    </row>
    <row r="353" spans="2:40">
      <c r="C353" s="232"/>
      <c r="D353" s="232"/>
      <c r="E353" s="218"/>
      <c r="F353" s="218"/>
      <c r="G353" s="218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3"/>
      <c r="W353" s="183"/>
      <c r="X353" s="183"/>
      <c r="Y353" s="183"/>
      <c r="Z353" s="183"/>
      <c r="AA353" s="183"/>
      <c r="AB353" s="183"/>
      <c r="AC353" s="183"/>
      <c r="AD353" s="183"/>
      <c r="AE353" s="183"/>
      <c r="AF353" s="183"/>
      <c r="AG353" s="183"/>
      <c r="AH353" s="183"/>
      <c r="AI353" s="183"/>
      <c r="AJ353" s="183"/>
      <c r="AK353" s="183"/>
      <c r="AL353" s="183"/>
      <c r="AM353" s="183"/>
      <c r="AN353" s="183"/>
    </row>
    <row r="354" spans="2:40">
      <c r="B354" s="181" t="s">
        <v>552</v>
      </c>
      <c r="C354" s="227"/>
      <c r="D354" s="227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3"/>
      <c r="W354" s="183"/>
      <c r="X354" s="183"/>
      <c r="Y354" s="183"/>
      <c r="Z354" s="183"/>
      <c r="AA354" s="183"/>
      <c r="AB354" s="183"/>
      <c r="AC354" s="183"/>
      <c r="AD354" s="183"/>
      <c r="AE354" s="183"/>
      <c r="AF354" s="183"/>
      <c r="AG354" s="183"/>
      <c r="AH354" s="183"/>
      <c r="AI354" s="183"/>
      <c r="AJ354" s="183"/>
      <c r="AK354" s="183"/>
      <c r="AL354" s="183"/>
      <c r="AM354" s="183"/>
      <c r="AN354" s="183"/>
    </row>
    <row r="355" spans="2:40">
      <c r="B355" s="181" t="s">
        <v>553</v>
      </c>
      <c r="C355" s="233"/>
      <c r="D355" s="233"/>
      <c r="E355" s="218"/>
      <c r="F355" s="218"/>
      <c r="G355" s="218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3"/>
      <c r="W355" s="183"/>
      <c r="X355" s="183"/>
      <c r="Y355" s="183"/>
      <c r="Z355" s="183"/>
      <c r="AA355" s="183"/>
      <c r="AB355" s="183"/>
      <c r="AC355" s="183"/>
      <c r="AD355" s="183"/>
      <c r="AE355" s="183"/>
      <c r="AF355" s="183"/>
      <c r="AG355" s="183"/>
      <c r="AH355" s="183"/>
      <c r="AI355" s="183"/>
      <c r="AJ355" s="183"/>
      <c r="AK355" s="183"/>
      <c r="AL355" s="183"/>
      <c r="AM355" s="183"/>
      <c r="AN355" s="183"/>
    </row>
    <row r="356" spans="2:40">
      <c r="B356" s="181" t="s">
        <v>554</v>
      </c>
      <c r="C356" s="227"/>
      <c r="D356" s="227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3"/>
      <c r="AN356" s="183"/>
    </row>
    <row r="357" spans="2:40">
      <c r="B357" s="181" t="s">
        <v>555</v>
      </c>
      <c r="C357" s="227"/>
      <c r="D357" s="227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3"/>
      <c r="W357" s="183"/>
      <c r="X357" s="183"/>
      <c r="Y357" s="183"/>
      <c r="Z357" s="183"/>
      <c r="AA357" s="183"/>
      <c r="AB357" s="183"/>
      <c r="AC357" s="183"/>
      <c r="AD357" s="183"/>
      <c r="AE357" s="183"/>
      <c r="AF357" s="183"/>
      <c r="AG357" s="183"/>
      <c r="AH357" s="183"/>
      <c r="AI357" s="183"/>
      <c r="AJ357" s="183"/>
      <c r="AK357" s="183"/>
      <c r="AL357" s="183"/>
      <c r="AM357" s="183"/>
      <c r="AN357" s="183"/>
    </row>
    <row r="358" spans="2:40">
      <c r="B358" s="181" t="s">
        <v>556</v>
      </c>
      <c r="C358" s="233"/>
      <c r="D358" s="233"/>
      <c r="E358" s="182"/>
      <c r="F358" s="218"/>
      <c r="G358" s="218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3"/>
      <c r="W358" s="183"/>
      <c r="X358" s="183"/>
      <c r="Y358" s="183"/>
      <c r="Z358" s="183"/>
      <c r="AA358" s="183"/>
      <c r="AB358" s="183"/>
      <c r="AC358" s="183"/>
      <c r="AD358" s="183"/>
      <c r="AE358" s="183"/>
      <c r="AF358" s="183"/>
      <c r="AG358" s="183"/>
      <c r="AH358" s="183"/>
      <c r="AI358" s="183"/>
      <c r="AJ358" s="183"/>
      <c r="AK358" s="183"/>
      <c r="AL358" s="183"/>
      <c r="AM358" s="183"/>
      <c r="AN358" s="183"/>
    </row>
    <row r="359" spans="2:40">
      <c r="B359" s="181" t="s">
        <v>557</v>
      </c>
      <c r="C359" s="233"/>
      <c r="D359" s="233"/>
      <c r="E359" s="216"/>
      <c r="F359" s="216"/>
      <c r="G359" s="216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3"/>
      <c r="W359" s="183"/>
      <c r="X359" s="183"/>
      <c r="Y359" s="183"/>
      <c r="Z359" s="183"/>
      <c r="AA359" s="183"/>
      <c r="AB359" s="183"/>
      <c r="AC359" s="183"/>
      <c r="AD359" s="183"/>
      <c r="AE359" s="183"/>
      <c r="AF359" s="183"/>
      <c r="AG359" s="183"/>
      <c r="AH359" s="183"/>
      <c r="AI359" s="183"/>
      <c r="AJ359" s="183"/>
      <c r="AK359" s="183"/>
      <c r="AL359" s="183"/>
      <c r="AM359" s="183"/>
      <c r="AN359" s="183"/>
    </row>
    <row r="360" spans="2:40">
      <c r="B360" s="181" t="s">
        <v>558</v>
      </c>
      <c r="C360" s="226"/>
      <c r="D360" s="227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3"/>
      <c r="W360" s="183"/>
      <c r="X360" s="183"/>
      <c r="Y360" s="183"/>
      <c r="Z360" s="183"/>
      <c r="AA360" s="183"/>
      <c r="AB360" s="183"/>
      <c r="AC360" s="183"/>
      <c r="AD360" s="183"/>
      <c r="AE360" s="183"/>
      <c r="AF360" s="183"/>
      <c r="AG360" s="183"/>
      <c r="AH360" s="183"/>
      <c r="AI360" s="183"/>
      <c r="AJ360" s="183"/>
      <c r="AK360" s="183"/>
      <c r="AL360" s="183"/>
      <c r="AM360" s="183"/>
      <c r="AN360" s="183"/>
    </row>
    <row r="361" spans="2:40">
      <c r="B361" s="181" t="s">
        <v>559</v>
      </c>
      <c r="C361" s="234"/>
      <c r="D361" s="227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3"/>
      <c r="W361" s="183"/>
      <c r="X361" s="183"/>
      <c r="Y361" s="183"/>
      <c r="Z361" s="183"/>
      <c r="AA361" s="183"/>
      <c r="AB361" s="183"/>
      <c r="AC361" s="183"/>
      <c r="AD361" s="183"/>
      <c r="AE361" s="183"/>
      <c r="AF361" s="183"/>
      <c r="AG361" s="183"/>
      <c r="AH361" s="183"/>
      <c r="AI361" s="183"/>
      <c r="AJ361" s="183"/>
      <c r="AK361" s="183"/>
      <c r="AL361" s="183"/>
      <c r="AM361" s="183"/>
      <c r="AN361" s="183"/>
    </row>
    <row r="362" spans="2:40">
      <c r="B362" s="181" t="s">
        <v>560</v>
      </c>
      <c r="C362" s="234"/>
      <c r="D362" s="227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3"/>
      <c r="W362" s="183"/>
      <c r="X362" s="183"/>
      <c r="Y362" s="183"/>
      <c r="Z362" s="183"/>
      <c r="AA362" s="183"/>
      <c r="AB362" s="183"/>
      <c r="AC362" s="183"/>
      <c r="AD362" s="183"/>
      <c r="AE362" s="183"/>
      <c r="AF362" s="183"/>
      <c r="AG362" s="183"/>
      <c r="AH362" s="183"/>
      <c r="AI362" s="183"/>
      <c r="AJ362" s="183"/>
      <c r="AK362" s="183"/>
      <c r="AL362" s="183"/>
      <c r="AM362" s="183"/>
      <c r="AN362" s="183"/>
    </row>
    <row r="363" spans="2:40">
      <c r="B363" s="181" t="s">
        <v>561</v>
      </c>
      <c r="C363" s="234"/>
      <c r="D363" s="227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3"/>
      <c r="W363" s="183"/>
      <c r="X363" s="183"/>
      <c r="Y363" s="183"/>
      <c r="Z363" s="183"/>
      <c r="AA363" s="183"/>
      <c r="AB363" s="183"/>
      <c r="AC363" s="183"/>
      <c r="AD363" s="183"/>
      <c r="AE363" s="183"/>
      <c r="AF363" s="183"/>
      <c r="AG363" s="183"/>
      <c r="AH363" s="183"/>
      <c r="AI363" s="183"/>
      <c r="AJ363" s="183"/>
      <c r="AK363" s="183"/>
      <c r="AL363" s="183"/>
      <c r="AM363" s="183"/>
      <c r="AN363" s="183"/>
    </row>
    <row r="364" spans="2:40">
      <c r="B364" s="181" t="s">
        <v>562</v>
      </c>
      <c r="C364" s="234"/>
      <c r="D364" s="227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3"/>
      <c r="W364" s="183"/>
      <c r="X364" s="183"/>
      <c r="Y364" s="183"/>
      <c r="Z364" s="183"/>
      <c r="AA364" s="183"/>
      <c r="AB364" s="183"/>
      <c r="AC364" s="183"/>
      <c r="AD364" s="183"/>
      <c r="AE364" s="183"/>
      <c r="AF364" s="183"/>
      <c r="AG364" s="183"/>
      <c r="AH364" s="183"/>
      <c r="AI364" s="183"/>
      <c r="AJ364" s="183"/>
      <c r="AK364" s="183"/>
      <c r="AL364" s="183"/>
      <c r="AM364" s="183"/>
      <c r="AN364" s="183"/>
    </row>
    <row r="365" spans="2:40">
      <c r="B365" s="181" t="s">
        <v>563</v>
      </c>
      <c r="C365" s="234"/>
      <c r="D365" s="227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3"/>
      <c r="W365" s="183"/>
      <c r="X365" s="183"/>
      <c r="Y365" s="183"/>
      <c r="Z365" s="183"/>
      <c r="AA365" s="183"/>
      <c r="AB365" s="183"/>
      <c r="AC365" s="183"/>
      <c r="AD365" s="183"/>
      <c r="AE365" s="183"/>
      <c r="AF365" s="183"/>
      <c r="AG365" s="183"/>
      <c r="AH365" s="183"/>
      <c r="AI365" s="183"/>
      <c r="AJ365" s="183"/>
      <c r="AK365" s="183"/>
      <c r="AL365" s="183"/>
      <c r="AM365" s="183"/>
      <c r="AN365" s="183"/>
    </row>
    <row r="366" spans="2:40">
      <c r="B366" s="181" t="s">
        <v>564</v>
      </c>
      <c r="C366" s="234"/>
      <c r="D366" s="227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3"/>
      <c r="W366" s="183"/>
      <c r="X366" s="183"/>
      <c r="Y366" s="183"/>
      <c r="Z366" s="183"/>
      <c r="AA366" s="183"/>
      <c r="AB366" s="183"/>
      <c r="AC366" s="183"/>
      <c r="AD366" s="183"/>
      <c r="AE366" s="183"/>
      <c r="AF366" s="183"/>
      <c r="AG366" s="183"/>
      <c r="AH366" s="183"/>
      <c r="AI366" s="183"/>
      <c r="AJ366" s="183"/>
      <c r="AK366" s="183"/>
      <c r="AL366" s="183"/>
      <c r="AM366" s="183"/>
      <c r="AN366" s="183"/>
    </row>
    <row r="367" spans="2:40">
      <c r="B367" s="181" t="s">
        <v>565</v>
      </c>
      <c r="C367" s="234"/>
      <c r="D367" s="227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3"/>
      <c r="W367" s="183"/>
      <c r="X367" s="183"/>
      <c r="Y367" s="183"/>
      <c r="Z367" s="183"/>
      <c r="AA367" s="183"/>
      <c r="AB367" s="183"/>
      <c r="AC367" s="183"/>
      <c r="AD367" s="183"/>
      <c r="AE367" s="183"/>
      <c r="AF367" s="183"/>
      <c r="AG367" s="183"/>
      <c r="AH367" s="183"/>
      <c r="AI367" s="183"/>
      <c r="AJ367" s="183"/>
      <c r="AK367" s="183"/>
      <c r="AL367" s="183"/>
      <c r="AM367" s="183"/>
      <c r="AN367" s="183"/>
    </row>
    <row r="368" spans="2:40">
      <c r="B368" s="181" t="s">
        <v>566</v>
      </c>
      <c r="C368" s="234"/>
      <c r="D368" s="227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3"/>
      <c r="W368" s="183"/>
      <c r="X368" s="183"/>
      <c r="Y368" s="183"/>
      <c r="Z368" s="183"/>
      <c r="AA368" s="183"/>
      <c r="AB368" s="183"/>
      <c r="AC368" s="183"/>
      <c r="AD368" s="183"/>
      <c r="AE368" s="183"/>
      <c r="AF368" s="183"/>
      <c r="AG368" s="183"/>
      <c r="AH368" s="183"/>
      <c r="AI368" s="183"/>
      <c r="AJ368" s="183"/>
      <c r="AK368" s="183"/>
      <c r="AL368" s="183"/>
      <c r="AM368" s="183"/>
      <c r="AN368" s="183"/>
    </row>
    <row r="369" spans="2:40">
      <c r="B369" s="181" t="s">
        <v>567</v>
      </c>
      <c r="C369" s="234"/>
      <c r="D369" s="216"/>
      <c r="E369" s="216"/>
      <c r="F369" s="216"/>
      <c r="G369" s="216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3"/>
      <c r="W369" s="183"/>
      <c r="X369" s="183"/>
      <c r="Y369" s="183"/>
      <c r="Z369" s="183"/>
      <c r="AA369" s="183"/>
      <c r="AB369" s="183"/>
      <c r="AC369" s="183"/>
      <c r="AD369" s="183"/>
      <c r="AE369" s="183"/>
      <c r="AF369" s="183"/>
      <c r="AG369" s="183"/>
      <c r="AH369" s="183"/>
      <c r="AI369" s="183"/>
      <c r="AJ369" s="183"/>
      <c r="AK369" s="183"/>
      <c r="AL369" s="183"/>
      <c r="AM369" s="183"/>
      <c r="AN369" s="183"/>
    </row>
    <row r="370" spans="2:40">
      <c r="B370" s="181" t="s">
        <v>568</v>
      </c>
      <c r="C370" s="234"/>
      <c r="D370" s="216"/>
      <c r="E370" s="216"/>
      <c r="F370" s="216"/>
      <c r="G370" s="216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3"/>
      <c r="W370" s="183"/>
      <c r="X370" s="183"/>
      <c r="Y370" s="183"/>
      <c r="Z370" s="183"/>
      <c r="AA370" s="183"/>
      <c r="AB370" s="183"/>
      <c r="AC370" s="183"/>
      <c r="AD370" s="183"/>
      <c r="AE370" s="183"/>
      <c r="AF370" s="183"/>
      <c r="AG370" s="183"/>
      <c r="AH370" s="183"/>
      <c r="AI370" s="183"/>
      <c r="AJ370" s="183"/>
      <c r="AK370" s="183"/>
      <c r="AL370" s="183"/>
      <c r="AM370" s="183"/>
      <c r="AN370" s="183"/>
    </row>
    <row r="371" spans="2:40">
      <c r="B371" s="181" t="s">
        <v>569</v>
      </c>
      <c r="C371" s="234"/>
      <c r="D371" s="216"/>
      <c r="E371" s="216"/>
      <c r="F371" s="216"/>
      <c r="G371" s="216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3"/>
      <c r="W371" s="183"/>
      <c r="X371" s="183"/>
      <c r="Y371" s="183"/>
      <c r="Z371" s="183"/>
      <c r="AA371" s="183"/>
      <c r="AB371" s="183"/>
      <c r="AC371" s="183"/>
      <c r="AD371" s="183"/>
      <c r="AE371" s="183"/>
      <c r="AF371" s="183"/>
      <c r="AG371" s="183"/>
      <c r="AH371" s="183"/>
      <c r="AI371" s="183"/>
      <c r="AJ371" s="183"/>
      <c r="AK371" s="183"/>
      <c r="AL371" s="183"/>
      <c r="AM371" s="183"/>
      <c r="AN371" s="183"/>
    </row>
    <row r="372" spans="2:40">
      <c r="C372" s="235"/>
      <c r="D372" s="225"/>
      <c r="E372" s="216"/>
      <c r="F372" s="216"/>
      <c r="G372" s="216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3"/>
      <c r="W372" s="183"/>
      <c r="X372" s="183"/>
      <c r="Y372" s="183"/>
      <c r="Z372" s="183"/>
      <c r="AA372" s="183"/>
      <c r="AB372" s="183"/>
      <c r="AC372" s="183"/>
      <c r="AD372" s="183"/>
      <c r="AE372" s="183"/>
      <c r="AF372" s="183"/>
      <c r="AG372" s="183"/>
      <c r="AH372" s="183"/>
      <c r="AI372" s="183"/>
      <c r="AJ372" s="183"/>
      <c r="AK372" s="183"/>
      <c r="AL372" s="183"/>
      <c r="AM372" s="183"/>
      <c r="AN372" s="183"/>
    </row>
    <row r="373" spans="2:40">
      <c r="B373" s="181" t="s">
        <v>570</v>
      </c>
      <c r="C373" s="236"/>
      <c r="D373" s="227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3"/>
      <c r="W373" s="183"/>
      <c r="X373" s="183"/>
      <c r="Y373" s="183"/>
      <c r="Z373" s="183"/>
      <c r="AA373" s="183"/>
      <c r="AB373" s="183"/>
      <c r="AC373" s="183"/>
      <c r="AD373" s="183"/>
      <c r="AE373" s="183"/>
      <c r="AF373" s="183"/>
      <c r="AG373" s="183"/>
      <c r="AH373" s="183"/>
      <c r="AI373" s="183"/>
      <c r="AJ373" s="183"/>
      <c r="AK373" s="183"/>
      <c r="AL373" s="183"/>
      <c r="AM373" s="183"/>
      <c r="AN373" s="183"/>
    </row>
    <row r="374" spans="2:40">
      <c r="B374" s="181" t="s">
        <v>571</v>
      </c>
      <c r="C374" s="236"/>
      <c r="D374" s="227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</row>
    <row r="375" spans="2:40">
      <c r="B375" s="181" t="s">
        <v>572</v>
      </c>
      <c r="C375" s="236"/>
      <c r="D375" s="227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3"/>
      <c r="W375" s="183"/>
      <c r="X375" s="183"/>
      <c r="Y375" s="183"/>
      <c r="Z375" s="183"/>
      <c r="AA375" s="183"/>
      <c r="AB375" s="183"/>
      <c r="AC375" s="183"/>
      <c r="AD375" s="183"/>
      <c r="AE375" s="183"/>
      <c r="AF375" s="183"/>
      <c r="AG375" s="183"/>
      <c r="AH375" s="183"/>
      <c r="AI375" s="183"/>
      <c r="AJ375" s="183"/>
      <c r="AK375" s="183"/>
      <c r="AL375" s="183"/>
      <c r="AM375" s="183"/>
      <c r="AN375" s="183"/>
    </row>
    <row r="376" spans="2:40">
      <c r="C376" s="225"/>
      <c r="D376" s="225"/>
      <c r="E376" s="216"/>
      <c r="F376" s="216"/>
      <c r="G376" s="216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3"/>
      <c r="W376" s="183"/>
      <c r="X376" s="183"/>
      <c r="Y376" s="183"/>
      <c r="Z376" s="183"/>
      <c r="AA376" s="183"/>
      <c r="AB376" s="183"/>
      <c r="AC376" s="183"/>
      <c r="AD376" s="183"/>
      <c r="AE376" s="183"/>
      <c r="AF376" s="183"/>
      <c r="AG376" s="183"/>
      <c r="AH376" s="183"/>
      <c r="AI376" s="183"/>
      <c r="AJ376" s="183"/>
      <c r="AK376" s="183"/>
      <c r="AL376" s="183"/>
      <c r="AM376" s="183"/>
      <c r="AN376" s="183"/>
    </row>
    <row r="377" spans="2:40">
      <c r="B377" s="181" t="s">
        <v>573</v>
      </c>
      <c r="C377" s="225"/>
      <c r="D377" s="227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3"/>
      <c r="W377" s="183"/>
      <c r="X377" s="183"/>
      <c r="Y377" s="183"/>
      <c r="Z377" s="183"/>
      <c r="AA377" s="183"/>
      <c r="AB377" s="183"/>
      <c r="AC377" s="183"/>
      <c r="AD377" s="183"/>
      <c r="AE377" s="183"/>
      <c r="AF377" s="183"/>
      <c r="AG377" s="183"/>
      <c r="AH377" s="183"/>
      <c r="AI377" s="183"/>
      <c r="AJ377" s="183"/>
      <c r="AK377" s="183"/>
      <c r="AL377" s="183"/>
      <c r="AM377" s="183"/>
      <c r="AN377" s="183"/>
    </row>
    <row r="378" spans="2:40">
      <c r="B378" s="181" t="s">
        <v>574</v>
      </c>
      <c r="C378" s="225"/>
      <c r="D378" s="227"/>
      <c r="E378" s="183"/>
      <c r="F378" s="182"/>
      <c r="G378" s="182"/>
      <c r="H378" s="187"/>
      <c r="I378" s="187"/>
      <c r="J378" s="187"/>
      <c r="K378" s="187"/>
      <c r="L378" s="187"/>
      <c r="M378" s="187"/>
      <c r="N378" s="187"/>
      <c r="O378" s="187"/>
      <c r="P378" s="187"/>
      <c r="Q378" s="187"/>
      <c r="R378" s="187"/>
      <c r="S378" s="187"/>
      <c r="T378" s="187"/>
      <c r="U378" s="187"/>
      <c r="V378" s="183"/>
      <c r="W378" s="183"/>
      <c r="X378" s="183"/>
      <c r="Y378" s="183"/>
      <c r="Z378" s="183"/>
      <c r="AA378" s="183"/>
      <c r="AB378" s="183"/>
      <c r="AC378" s="183"/>
      <c r="AD378" s="183"/>
      <c r="AE378" s="183"/>
      <c r="AF378" s="183"/>
      <c r="AG378" s="183"/>
      <c r="AH378" s="183"/>
      <c r="AI378" s="183"/>
      <c r="AJ378" s="183"/>
      <c r="AK378" s="183"/>
      <c r="AL378" s="183"/>
      <c r="AM378" s="183"/>
      <c r="AN378" s="183"/>
    </row>
    <row r="379" spans="2:40">
      <c r="B379" s="181" t="s">
        <v>575</v>
      </c>
      <c r="C379" s="225"/>
      <c r="D379" s="227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3"/>
      <c r="W379" s="183"/>
      <c r="X379" s="183"/>
      <c r="Y379" s="183"/>
      <c r="Z379" s="183"/>
      <c r="AA379" s="183"/>
      <c r="AB379" s="183"/>
      <c r="AC379" s="183"/>
      <c r="AD379" s="183"/>
      <c r="AE379" s="183"/>
      <c r="AF379" s="183"/>
      <c r="AG379" s="183"/>
      <c r="AH379" s="183"/>
      <c r="AI379" s="183"/>
      <c r="AJ379" s="183"/>
      <c r="AK379" s="183"/>
      <c r="AL379" s="183"/>
      <c r="AM379" s="183"/>
      <c r="AN379" s="183"/>
    </row>
    <row r="380" spans="2:40">
      <c r="B380" s="181" t="s">
        <v>576</v>
      </c>
      <c r="C380" s="225"/>
      <c r="D380" s="227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  <c r="AG380" s="183"/>
      <c r="AH380" s="183"/>
      <c r="AI380" s="183"/>
      <c r="AJ380" s="183"/>
      <c r="AK380" s="183"/>
      <c r="AL380" s="183"/>
      <c r="AM380" s="183"/>
      <c r="AN380" s="183"/>
    </row>
    <row r="381" spans="2:40">
      <c r="B381" s="181" t="s">
        <v>577</v>
      </c>
      <c r="C381" s="225"/>
      <c r="D381" s="227"/>
      <c r="E381" s="190"/>
      <c r="F381" s="190"/>
      <c r="G381" s="190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3"/>
      <c r="W381" s="183"/>
      <c r="X381" s="183"/>
      <c r="Y381" s="183"/>
      <c r="Z381" s="183"/>
      <c r="AA381" s="183"/>
      <c r="AB381" s="183"/>
      <c r="AC381" s="183"/>
      <c r="AD381" s="183"/>
      <c r="AE381" s="183"/>
      <c r="AF381" s="183"/>
      <c r="AG381" s="183"/>
      <c r="AH381" s="183"/>
      <c r="AI381" s="183"/>
      <c r="AJ381" s="183"/>
      <c r="AK381" s="183"/>
      <c r="AL381" s="183"/>
      <c r="AM381" s="183"/>
      <c r="AN381" s="183"/>
    </row>
    <row r="382" spans="2:40">
      <c r="B382" s="181" t="s">
        <v>578</v>
      </c>
      <c r="C382" s="225"/>
      <c r="D382" s="227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3"/>
      <c r="W382" s="183"/>
      <c r="X382" s="183"/>
      <c r="Y382" s="183"/>
      <c r="Z382" s="183"/>
      <c r="AA382" s="183"/>
      <c r="AB382" s="183"/>
      <c r="AC382" s="183"/>
      <c r="AD382" s="183"/>
      <c r="AE382" s="183"/>
      <c r="AF382" s="183"/>
      <c r="AG382" s="183"/>
      <c r="AH382" s="183"/>
      <c r="AI382" s="183"/>
      <c r="AJ382" s="183"/>
      <c r="AK382" s="183"/>
      <c r="AL382" s="183"/>
      <c r="AM382" s="183"/>
      <c r="AN382" s="183"/>
    </row>
    <row r="383" spans="2:40">
      <c r="C383" s="225"/>
      <c r="D383" s="225"/>
      <c r="E383" s="183"/>
      <c r="F383" s="237"/>
      <c r="G383" s="237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3"/>
      <c r="W383" s="183"/>
      <c r="X383" s="183"/>
      <c r="Y383" s="183"/>
      <c r="Z383" s="183"/>
      <c r="AA383" s="183"/>
      <c r="AB383" s="183"/>
      <c r="AC383" s="183"/>
      <c r="AD383" s="183"/>
      <c r="AE383" s="183"/>
      <c r="AF383" s="183"/>
      <c r="AG383" s="183"/>
      <c r="AH383" s="183"/>
      <c r="AI383" s="183"/>
      <c r="AJ383" s="183"/>
      <c r="AK383" s="183"/>
      <c r="AL383" s="183"/>
      <c r="AM383" s="183"/>
      <c r="AN383" s="183"/>
    </row>
    <row r="384" spans="2:40">
      <c r="B384" s="181" t="s">
        <v>579</v>
      </c>
      <c r="C384" s="225"/>
      <c r="D384" s="227"/>
      <c r="E384" s="190"/>
      <c r="F384" s="190"/>
      <c r="G384" s="190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3"/>
      <c r="W384" s="183"/>
      <c r="X384" s="183"/>
      <c r="Y384" s="183"/>
      <c r="Z384" s="183"/>
      <c r="AA384" s="183"/>
      <c r="AB384" s="183"/>
      <c r="AC384" s="183"/>
      <c r="AD384" s="183"/>
      <c r="AE384" s="183"/>
      <c r="AF384" s="183"/>
      <c r="AG384" s="183"/>
      <c r="AH384" s="183"/>
      <c r="AI384" s="183"/>
      <c r="AJ384" s="183"/>
      <c r="AK384" s="183"/>
      <c r="AL384" s="183"/>
      <c r="AM384" s="183"/>
      <c r="AN384" s="183"/>
    </row>
    <row r="385" spans="2:40">
      <c r="B385" s="181" t="s">
        <v>580</v>
      </c>
      <c r="C385" s="225"/>
      <c r="D385" s="227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3"/>
      <c r="W385" s="183"/>
      <c r="X385" s="183"/>
      <c r="Y385" s="183"/>
      <c r="Z385" s="183"/>
      <c r="AA385" s="183"/>
      <c r="AB385" s="183"/>
      <c r="AC385" s="183"/>
      <c r="AD385" s="183"/>
      <c r="AE385" s="183"/>
      <c r="AF385" s="183"/>
      <c r="AG385" s="183"/>
      <c r="AH385" s="183"/>
      <c r="AI385" s="183"/>
      <c r="AJ385" s="183"/>
      <c r="AK385" s="183"/>
      <c r="AL385" s="183"/>
      <c r="AM385" s="183"/>
      <c r="AN385" s="183"/>
    </row>
    <row r="386" spans="2:40">
      <c r="B386" s="238" t="s">
        <v>572</v>
      </c>
      <c r="C386" s="239"/>
      <c r="D386" s="240"/>
      <c r="E386" s="196"/>
      <c r="F386" s="196"/>
      <c r="G386" s="196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  <c r="AG386" s="183"/>
      <c r="AH386" s="183"/>
      <c r="AI386" s="183"/>
      <c r="AJ386" s="183"/>
      <c r="AK386" s="183"/>
      <c r="AL386" s="183"/>
      <c r="AM386" s="183"/>
      <c r="AN386" s="183"/>
    </row>
    <row r="387" spans="2:40">
      <c r="B387" s="181" t="s">
        <v>581</v>
      </c>
      <c r="C387" s="225"/>
      <c r="D387" s="227"/>
      <c r="E387" s="190"/>
      <c r="F387" s="190"/>
      <c r="G387" s="190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3"/>
      <c r="W387" s="183"/>
      <c r="X387" s="183"/>
      <c r="Y387" s="183"/>
      <c r="Z387" s="183"/>
      <c r="AA387" s="183"/>
      <c r="AB387" s="183"/>
      <c r="AC387" s="183"/>
      <c r="AD387" s="183"/>
      <c r="AE387" s="183"/>
      <c r="AF387" s="183"/>
      <c r="AG387" s="183"/>
      <c r="AH387" s="183"/>
      <c r="AI387" s="183"/>
      <c r="AJ387" s="183"/>
      <c r="AK387" s="183"/>
      <c r="AL387" s="183"/>
      <c r="AM387" s="183"/>
      <c r="AN387" s="183"/>
    </row>
    <row r="388" spans="2:40">
      <c r="B388" s="181" t="s">
        <v>63</v>
      </c>
      <c r="C388" s="225"/>
      <c r="D388" s="225"/>
      <c r="E388" s="183"/>
      <c r="F388" s="216"/>
      <c r="G388" s="216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3"/>
      <c r="W388" s="183"/>
      <c r="X388" s="183"/>
      <c r="Y388" s="183"/>
      <c r="Z388" s="183"/>
      <c r="AA388" s="183"/>
      <c r="AB388" s="183"/>
      <c r="AC388" s="183"/>
      <c r="AD388" s="183"/>
      <c r="AE388" s="183"/>
      <c r="AF388" s="183"/>
      <c r="AG388" s="183"/>
      <c r="AH388" s="183"/>
      <c r="AI388" s="183"/>
      <c r="AJ388" s="183"/>
      <c r="AK388" s="183"/>
      <c r="AL388" s="183"/>
      <c r="AM388" s="183"/>
      <c r="AN388" s="183"/>
    </row>
    <row r="389" spans="2:40">
      <c r="C389" s="183"/>
      <c r="D389" s="183"/>
      <c r="E389" s="183"/>
      <c r="F389" s="183"/>
      <c r="G389" s="183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3"/>
      <c r="W389" s="183"/>
      <c r="X389" s="183"/>
      <c r="Y389" s="183"/>
      <c r="Z389" s="183"/>
      <c r="AA389" s="183"/>
      <c r="AB389" s="183"/>
      <c r="AC389" s="183"/>
      <c r="AD389" s="183"/>
      <c r="AE389" s="183"/>
      <c r="AF389" s="183"/>
      <c r="AG389" s="183"/>
      <c r="AH389" s="183"/>
      <c r="AI389" s="183"/>
      <c r="AJ389" s="183"/>
      <c r="AK389" s="183"/>
      <c r="AL389" s="183"/>
      <c r="AM389" s="183"/>
      <c r="AN389" s="183"/>
    </row>
    <row r="390" spans="2:40">
      <c r="B390" s="181" t="s">
        <v>582</v>
      </c>
      <c r="C390" s="183"/>
      <c r="D390" s="183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3"/>
      <c r="W390" s="183"/>
      <c r="X390" s="183"/>
      <c r="Y390" s="183"/>
      <c r="Z390" s="183"/>
      <c r="AA390" s="183"/>
      <c r="AB390" s="183"/>
      <c r="AC390" s="183"/>
      <c r="AD390" s="183"/>
      <c r="AE390" s="183"/>
      <c r="AF390" s="183"/>
      <c r="AG390" s="183"/>
      <c r="AH390" s="183"/>
      <c r="AI390" s="183"/>
      <c r="AJ390" s="183"/>
      <c r="AK390" s="183"/>
      <c r="AL390" s="183"/>
      <c r="AM390" s="183"/>
      <c r="AN390" s="183"/>
    </row>
    <row r="391" spans="2:40">
      <c r="B391" s="181" t="s">
        <v>583</v>
      </c>
      <c r="C391" s="183"/>
      <c r="D391" s="183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3"/>
      <c r="W391" s="183"/>
      <c r="X391" s="183"/>
      <c r="Y391" s="183"/>
      <c r="Z391" s="183"/>
      <c r="AA391" s="183"/>
      <c r="AB391" s="183"/>
      <c r="AC391" s="183"/>
      <c r="AD391" s="183"/>
      <c r="AE391" s="183"/>
      <c r="AF391" s="183"/>
      <c r="AG391" s="183"/>
      <c r="AH391" s="183"/>
      <c r="AI391" s="183"/>
      <c r="AJ391" s="183"/>
      <c r="AK391" s="183"/>
      <c r="AL391" s="183"/>
      <c r="AM391" s="183"/>
      <c r="AN391" s="183"/>
    </row>
    <row r="392" spans="2:40">
      <c r="C392" s="183"/>
      <c r="D392" s="183"/>
      <c r="E392" s="183"/>
      <c r="F392" s="183"/>
      <c r="G392" s="183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</row>
    <row r="393" spans="2:40">
      <c r="B393" s="181" t="s">
        <v>584</v>
      </c>
      <c r="C393" s="183"/>
      <c r="D393" s="183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3"/>
      <c r="W393" s="183"/>
      <c r="X393" s="183"/>
      <c r="Y393" s="183"/>
      <c r="Z393" s="183"/>
      <c r="AA393" s="183"/>
      <c r="AB393" s="183"/>
      <c r="AC393" s="183"/>
      <c r="AD393" s="183"/>
      <c r="AE393" s="183"/>
      <c r="AF393" s="183"/>
      <c r="AG393" s="183"/>
      <c r="AH393" s="183"/>
      <c r="AI393" s="183"/>
      <c r="AJ393" s="183"/>
      <c r="AK393" s="183"/>
      <c r="AL393" s="183"/>
      <c r="AM393" s="183"/>
      <c r="AN393" s="183"/>
    </row>
    <row r="394" spans="2:40">
      <c r="B394" s="181" t="s">
        <v>585</v>
      </c>
      <c r="C394" s="183"/>
      <c r="D394" s="183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3"/>
      <c r="W394" s="183"/>
      <c r="X394" s="183"/>
      <c r="Y394" s="183"/>
      <c r="Z394" s="183"/>
      <c r="AA394" s="183"/>
      <c r="AB394" s="183"/>
      <c r="AC394" s="183"/>
      <c r="AD394" s="183"/>
      <c r="AE394" s="183"/>
      <c r="AF394" s="183"/>
      <c r="AG394" s="183"/>
      <c r="AH394" s="183"/>
      <c r="AI394" s="183"/>
      <c r="AJ394" s="183"/>
      <c r="AK394" s="183"/>
      <c r="AL394" s="183"/>
      <c r="AM394" s="183"/>
      <c r="AN394" s="183"/>
    </row>
    <row r="395" spans="2:40">
      <c r="B395" s="181" t="s">
        <v>586</v>
      </c>
      <c r="C395" s="183"/>
      <c r="D395" s="183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3"/>
      <c r="W395" s="183"/>
      <c r="X395" s="183"/>
      <c r="Y395" s="183"/>
      <c r="Z395" s="183"/>
      <c r="AA395" s="183"/>
      <c r="AB395" s="183"/>
      <c r="AC395" s="183"/>
      <c r="AD395" s="183"/>
      <c r="AE395" s="183"/>
      <c r="AF395" s="183"/>
      <c r="AG395" s="183"/>
      <c r="AH395" s="183"/>
      <c r="AI395" s="183"/>
      <c r="AJ395" s="183"/>
      <c r="AK395" s="183"/>
      <c r="AL395" s="183"/>
      <c r="AM395" s="183"/>
      <c r="AN395" s="183"/>
    </row>
    <row r="396" spans="2:40">
      <c r="C396" s="183"/>
      <c r="D396" s="183"/>
      <c r="E396" s="183"/>
      <c r="F396" s="183"/>
      <c r="G396" s="183"/>
      <c r="H396" s="183"/>
      <c r="I396" s="183"/>
      <c r="J396" s="183"/>
      <c r="K396" s="183"/>
      <c r="L396" s="183"/>
      <c r="M396" s="183"/>
      <c r="N396" s="183"/>
      <c r="O396" s="183"/>
      <c r="P396" s="183"/>
      <c r="Q396" s="183"/>
      <c r="R396" s="183"/>
      <c r="S396" s="183"/>
      <c r="T396" s="183"/>
      <c r="U396" s="183"/>
      <c r="V396" s="183"/>
      <c r="W396" s="183"/>
      <c r="X396" s="183"/>
      <c r="Y396" s="183"/>
      <c r="Z396" s="183"/>
      <c r="AA396" s="183"/>
      <c r="AB396" s="183"/>
      <c r="AC396" s="183"/>
      <c r="AD396" s="183"/>
      <c r="AE396" s="183"/>
      <c r="AF396" s="183"/>
      <c r="AG396" s="183"/>
      <c r="AH396" s="183"/>
      <c r="AI396" s="183"/>
      <c r="AJ396" s="183"/>
      <c r="AK396" s="183"/>
      <c r="AL396" s="183"/>
      <c r="AM396" s="183"/>
      <c r="AN396" s="183"/>
    </row>
    <row r="397" spans="2:40">
      <c r="C397" s="183"/>
      <c r="D397" s="183"/>
      <c r="E397" s="183"/>
      <c r="F397" s="183"/>
      <c r="G397" s="183"/>
      <c r="H397" s="183"/>
      <c r="I397" s="183"/>
      <c r="J397" s="183"/>
      <c r="K397" s="183"/>
      <c r="L397" s="183"/>
      <c r="M397" s="183"/>
      <c r="N397" s="183"/>
      <c r="O397" s="183"/>
      <c r="P397" s="183"/>
      <c r="Q397" s="183"/>
      <c r="R397" s="183"/>
      <c r="S397" s="183"/>
      <c r="T397" s="183"/>
      <c r="U397" s="183"/>
      <c r="V397" s="183"/>
      <c r="W397" s="183"/>
      <c r="X397" s="183"/>
      <c r="Y397" s="183"/>
      <c r="Z397" s="183"/>
      <c r="AA397" s="183"/>
      <c r="AB397" s="183"/>
      <c r="AC397" s="183"/>
      <c r="AD397" s="183"/>
      <c r="AE397" s="183"/>
      <c r="AF397" s="183"/>
      <c r="AG397" s="183"/>
      <c r="AH397" s="183"/>
      <c r="AI397" s="183"/>
      <c r="AJ397" s="183"/>
      <c r="AK397" s="183"/>
      <c r="AL397" s="183"/>
      <c r="AM397" s="183"/>
      <c r="AN397" s="183"/>
    </row>
    <row r="398" spans="2:40">
      <c r="C398" s="183"/>
      <c r="D398" s="183"/>
      <c r="E398" s="183"/>
      <c r="F398" s="183"/>
      <c r="G398" s="183"/>
      <c r="H398" s="183"/>
      <c r="I398" s="183"/>
      <c r="J398" s="183"/>
      <c r="K398" s="183"/>
      <c r="L398" s="183"/>
      <c r="M398" s="183"/>
      <c r="N398" s="183"/>
      <c r="O398" s="183"/>
      <c r="P398" s="183"/>
      <c r="Q398" s="183"/>
      <c r="R398" s="183"/>
      <c r="S398" s="183"/>
      <c r="T398" s="183"/>
      <c r="U398" s="183"/>
      <c r="V398" s="183"/>
      <c r="W398" s="183"/>
      <c r="X398" s="183"/>
      <c r="Y398" s="183"/>
      <c r="Z398" s="183"/>
      <c r="AA398" s="183"/>
      <c r="AB398" s="183"/>
      <c r="AC398" s="183"/>
      <c r="AD398" s="183"/>
      <c r="AE398" s="183"/>
      <c r="AF398" s="183"/>
      <c r="AG398" s="183"/>
      <c r="AH398" s="183"/>
      <c r="AI398" s="183"/>
      <c r="AJ398" s="183"/>
      <c r="AK398" s="183"/>
      <c r="AL398" s="183"/>
      <c r="AM398" s="183"/>
      <c r="AN398" s="183"/>
    </row>
    <row r="399" spans="2:40">
      <c r="C399" s="183"/>
      <c r="D399" s="183"/>
      <c r="E399" s="183"/>
      <c r="F399" s="183"/>
      <c r="G399" s="183"/>
      <c r="H399" s="183"/>
      <c r="I399" s="183"/>
      <c r="J399" s="183"/>
      <c r="K399" s="183"/>
      <c r="L399" s="183"/>
      <c r="M399" s="183"/>
      <c r="N399" s="183"/>
      <c r="O399" s="183"/>
      <c r="P399" s="183"/>
      <c r="Q399" s="183"/>
      <c r="R399" s="183"/>
      <c r="S399" s="183"/>
      <c r="T399" s="183"/>
      <c r="U399" s="183"/>
      <c r="V399" s="183"/>
      <c r="W399" s="183"/>
      <c r="X399" s="183"/>
      <c r="Y399" s="183"/>
      <c r="Z399" s="183"/>
      <c r="AA399" s="183"/>
      <c r="AB399" s="183"/>
      <c r="AC399" s="183"/>
      <c r="AD399" s="183"/>
      <c r="AE399" s="183"/>
      <c r="AF399" s="183"/>
      <c r="AG399" s="183"/>
      <c r="AH399" s="183"/>
      <c r="AI399" s="183"/>
      <c r="AJ399" s="183"/>
      <c r="AK399" s="183"/>
      <c r="AL399" s="183"/>
      <c r="AM399" s="183"/>
      <c r="AN399" s="183"/>
    </row>
    <row r="400" spans="2:40">
      <c r="C400" s="183"/>
      <c r="D400" s="183"/>
      <c r="E400" s="183"/>
      <c r="F400" s="183"/>
      <c r="G400" s="183"/>
      <c r="H400" s="183"/>
      <c r="I400" s="183"/>
      <c r="J400" s="183"/>
      <c r="K400" s="183"/>
      <c r="L400" s="183"/>
      <c r="M400" s="183"/>
      <c r="N400" s="183"/>
      <c r="O400" s="183"/>
      <c r="P400" s="183"/>
      <c r="Q400" s="183"/>
      <c r="R400" s="183"/>
      <c r="S400" s="183"/>
      <c r="T400" s="183"/>
      <c r="U400" s="183"/>
      <c r="V400" s="183"/>
      <c r="W400" s="183"/>
      <c r="X400" s="183"/>
      <c r="Y400" s="183"/>
      <c r="Z400" s="183"/>
      <c r="AA400" s="183"/>
      <c r="AB400" s="183"/>
      <c r="AC400" s="183"/>
      <c r="AD400" s="183"/>
      <c r="AE400" s="183"/>
      <c r="AF400" s="183"/>
      <c r="AG400" s="183"/>
      <c r="AH400" s="183"/>
      <c r="AI400" s="183"/>
      <c r="AJ400" s="183"/>
      <c r="AK400" s="183"/>
      <c r="AL400" s="183"/>
      <c r="AM400" s="183"/>
      <c r="AN400" s="183"/>
    </row>
    <row r="401" spans="3:40">
      <c r="C401" s="183"/>
      <c r="D401" s="183"/>
      <c r="E401" s="183"/>
      <c r="F401" s="183"/>
      <c r="G401" s="183"/>
      <c r="H401" s="183"/>
      <c r="I401" s="183"/>
      <c r="J401" s="183"/>
      <c r="K401" s="183"/>
      <c r="L401" s="183"/>
      <c r="M401" s="183"/>
      <c r="N401" s="183"/>
      <c r="O401" s="183"/>
      <c r="P401" s="183"/>
      <c r="Q401" s="183"/>
      <c r="R401" s="183"/>
      <c r="S401" s="183"/>
      <c r="T401" s="183"/>
      <c r="U401" s="183"/>
      <c r="V401" s="183"/>
      <c r="W401" s="183"/>
      <c r="X401" s="183"/>
      <c r="Y401" s="183"/>
      <c r="Z401" s="183"/>
      <c r="AA401" s="183"/>
      <c r="AB401" s="183"/>
      <c r="AC401" s="183"/>
      <c r="AD401" s="183"/>
      <c r="AE401" s="183"/>
      <c r="AF401" s="183"/>
      <c r="AG401" s="183"/>
      <c r="AH401" s="183"/>
      <c r="AI401" s="183"/>
      <c r="AJ401" s="183"/>
      <c r="AK401" s="183"/>
      <c r="AL401" s="183"/>
      <c r="AM401" s="183"/>
      <c r="AN401" s="183"/>
    </row>
    <row r="402" spans="3:40">
      <c r="C402" s="183"/>
      <c r="D402" s="183"/>
      <c r="E402" s="183"/>
      <c r="F402" s="183"/>
      <c r="G402" s="183"/>
      <c r="H402" s="183"/>
      <c r="I402" s="183"/>
      <c r="J402" s="183"/>
      <c r="K402" s="183"/>
      <c r="L402" s="183"/>
      <c r="M402" s="183"/>
      <c r="N402" s="183"/>
      <c r="O402" s="183"/>
      <c r="P402" s="183"/>
      <c r="Q402" s="183"/>
      <c r="R402" s="183"/>
      <c r="S402" s="183"/>
      <c r="T402" s="183"/>
      <c r="U402" s="183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  <c r="AG402" s="183"/>
      <c r="AH402" s="183"/>
      <c r="AI402" s="183"/>
      <c r="AJ402" s="183"/>
      <c r="AK402" s="183"/>
      <c r="AL402" s="183"/>
      <c r="AM402" s="183"/>
      <c r="AN402" s="183"/>
    </row>
    <row r="403" spans="3:40">
      <c r="C403" s="183"/>
      <c r="D403" s="183"/>
      <c r="E403" s="183"/>
      <c r="F403" s="183"/>
      <c r="G403" s="183"/>
      <c r="H403" s="183"/>
      <c r="I403" s="183"/>
      <c r="J403" s="183"/>
      <c r="K403" s="183"/>
      <c r="L403" s="183"/>
      <c r="M403" s="183"/>
      <c r="N403" s="183"/>
      <c r="O403" s="183"/>
      <c r="P403" s="183"/>
      <c r="Q403" s="183"/>
      <c r="R403" s="183"/>
      <c r="S403" s="183"/>
      <c r="T403" s="183"/>
      <c r="U403" s="183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  <c r="AG403" s="183"/>
      <c r="AH403" s="183"/>
      <c r="AI403" s="183"/>
      <c r="AJ403" s="183"/>
      <c r="AK403" s="183"/>
      <c r="AL403" s="183"/>
      <c r="AM403" s="183"/>
      <c r="AN403" s="183"/>
    </row>
    <row r="404" spans="3:40">
      <c r="C404" s="183"/>
      <c r="D404" s="183"/>
      <c r="E404" s="183"/>
      <c r="F404" s="183"/>
      <c r="G404" s="183"/>
      <c r="H404" s="183"/>
      <c r="I404" s="183"/>
      <c r="J404" s="183"/>
      <c r="K404" s="183"/>
      <c r="L404" s="183"/>
      <c r="M404" s="183"/>
      <c r="N404" s="183"/>
      <c r="O404" s="183"/>
      <c r="P404" s="183"/>
      <c r="Q404" s="183"/>
      <c r="R404" s="183"/>
      <c r="S404" s="183"/>
      <c r="T404" s="183"/>
      <c r="U404" s="183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  <c r="AG404" s="183"/>
      <c r="AH404" s="183"/>
      <c r="AI404" s="183"/>
      <c r="AJ404" s="183"/>
      <c r="AK404" s="183"/>
      <c r="AL404" s="183"/>
      <c r="AM404" s="183"/>
      <c r="AN404" s="183"/>
    </row>
    <row r="405" spans="3:40">
      <c r="C405" s="183"/>
      <c r="D405" s="183"/>
      <c r="E405" s="183"/>
      <c r="F405" s="183"/>
      <c r="G405" s="183"/>
      <c r="H405" s="183"/>
      <c r="I405" s="183"/>
      <c r="J405" s="183"/>
      <c r="K405" s="183"/>
      <c r="L405" s="183"/>
      <c r="M405" s="183"/>
      <c r="N405" s="183"/>
      <c r="O405" s="183"/>
      <c r="P405" s="183"/>
      <c r="Q405" s="183"/>
      <c r="R405" s="183"/>
      <c r="S405" s="183"/>
      <c r="T405" s="183"/>
      <c r="U405" s="183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  <c r="AG405" s="183"/>
      <c r="AH405" s="183"/>
      <c r="AI405" s="183"/>
      <c r="AJ405" s="183"/>
      <c r="AK405" s="183"/>
      <c r="AL405" s="183"/>
      <c r="AM405" s="183"/>
      <c r="AN405" s="183"/>
    </row>
    <row r="406" spans="3:40">
      <c r="C406" s="183"/>
      <c r="D406" s="183"/>
      <c r="E406" s="183"/>
      <c r="F406" s="183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  <c r="AG406" s="183"/>
      <c r="AH406" s="183"/>
      <c r="AI406" s="183"/>
      <c r="AJ406" s="183"/>
      <c r="AK406" s="183"/>
      <c r="AL406" s="183"/>
      <c r="AM406" s="183"/>
      <c r="AN406" s="183"/>
    </row>
    <row r="407" spans="3:40">
      <c r="C407" s="183"/>
      <c r="D407" s="183"/>
      <c r="E407" s="183"/>
      <c r="F407" s="183"/>
      <c r="G407" s="183"/>
      <c r="H407" s="183"/>
      <c r="I407" s="183"/>
      <c r="J407" s="183"/>
      <c r="K407" s="183"/>
      <c r="L407" s="183"/>
      <c r="M407" s="183"/>
      <c r="N407" s="183"/>
      <c r="O407" s="183"/>
      <c r="P407" s="183"/>
      <c r="Q407" s="183"/>
      <c r="R407" s="183"/>
      <c r="S407" s="183"/>
      <c r="T407" s="183"/>
      <c r="U407" s="183"/>
      <c r="V407" s="183"/>
      <c r="W407" s="183"/>
      <c r="X407" s="183"/>
      <c r="Y407" s="183"/>
      <c r="Z407" s="183"/>
      <c r="AA407" s="183"/>
      <c r="AB407" s="183"/>
      <c r="AC407" s="183"/>
      <c r="AD407" s="183"/>
      <c r="AE407" s="183"/>
      <c r="AF407" s="183"/>
      <c r="AG407" s="183"/>
      <c r="AH407" s="183"/>
      <c r="AI407" s="183"/>
      <c r="AJ407" s="183"/>
      <c r="AK407" s="183"/>
      <c r="AL407" s="183"/>
      <c r="AM407" s="183"/>
      <c r="AN407" s="183"/>
    </row>
    <row r="408" spans="3:40">
      <c r="C408" s="183"/>
      <c r="D408" s="183"/>
      <c r="E408" s="183"/>
      <c r="F408" s="183"/>
      <c r="G408" s="183"/>
      <c r="H408" s="183"/>
      <c r="I408" s="183"/>
      <c r="J408" s="183"/>
      <c r="K408" s="183"/>
      <c r="L408" s="183"/>
      <c r="M408" s="183"/>
      <c r="N408" s="183"/>
      <c r="O408" s="183"/>
      <c r="P408" s="183"/>
      <c r="Q408" s="183"/>
      <c r="R408" s="183"/>
      <c r="S408" s="183"/>
      <c r="T408" s="183"/>
      <c r="U408" s="183"/>
      <c r="V408" s="183"/>
      <c r="W408" s="183"/>
      <c r="X408" s="183"/>
      <c r="Y408" s="183"/>
      <c r="Z408" s="183"/>
      <c r="AA408" s="183"/>
      <c r="AB408" s="183"/>
      <c r="AC408" s="183"/>
      <c r="AD408" s="183"/>
      <c r="AE408" s="183"/>
      <c r="AF408" s="183"/>
      <c r="AG408" s="183"/>
      <c r="AH408" s="183"/>
      <c r="AI408" s="183"/>
      <c r="AJ408" s="183"/>
      <c r="AK408" s="183"/>
      <c r="AL408" s="183"/>
      <c r="AM408" s="183"/>
      <c r="AN408" s="183"/>
    </row>
    <row r="409" spans="3:40">
      <c r="C409" s="183"/>
      <c r="D409" s="183"/>
      <c r="E409" s="183"/>
      <c r="F409" s="183"/>
      <c r="G409" s="183"/>
      <c r="H409" s="183"/>
      <c r="I409" s="183"/>
      <c r="J409" s="183"/>
      <c r="K409" s="183"/>
      <c r="L409" s="183"/>
      <c r="M409" s="183"/>
      <c r="N409" s="183"/>
      <c r="O409" s="183"/>
      <c r="P409" s="183"/>
      <c r="Q409" s="183"/>
      <c r="R409" s="183"/>
      <c r="S409" s="183"/>
      <c r="T409" s="183"/>
      <c r="U409" s="183"/>
      <c r="V409" s="183"/>
      <c r="W409" s="183"/>
      <c r="X409" s="183"/>
      <c r="Y409" s="183"/>
      <c r="Z409" s="183"/>
      <c r="AA409" s="183"/>
      <c r="AB409" s="183"/>
      <c r="AC409" s="183"/>
      <c r="AD409" s="183"/>
      <c r="AE409" s="183"/>
      <c r="AF409" s="183"/>
      <c r="AG409" s="183"/>
      <c r="AH409" s="183"/>
      <c r="AI409" s="183"/>
      <c r="AJ409" s="183"/>
      <c r="AK409" s="183"/>
      <c r="AL409" s="183"/>
      <c r="AM409" s="183"/>
      <c r="AN409" s="183"/>
    </row>
    <row r="410" spans="3:40">
      <c r="C410" s="183"/>
      <c r="D410" s="183"/>
      <c r="E410" s="183"/>
      <c r="F410" s="183"/>
      <c r="G410" s="183"/>
      <c r="H410" s="183"/>
      <c r="I410" s="183"/>
      <c r="J410" s="183"/>
      <c r="K410" s="183"/>
      <c r="L410" s="183"/>
      <c r="M410" s="183"/>
      <c r="N410" s="183"/>
      <c r="O410" s="183"/>
      <c r="P410" s="183"/>
      <c r="Q410" s="183"/>
      <c r="R410" s="183"/>
      <c r="S410" s="183"/>
      <c r="T410" s="183"/>
      <c r="U410" s="183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Cover</vt:lpstr>
      <vt:lpstr>SOP</vt:lpstr>
      <vt:lpstr>Valuation</vt:lpstr>
      <vt:lpstr>Master</vt:lpstr>
      <vt:lpstr>New Ints</vt:lpstr>
      <vt:lpstr>Interims</vt:lpstr>
      <vt:lpstr>Earnings snaps</vt:lpstr>
      <vt:lpstr>Notes</vt:lpstr>
      <vt:lpstr>Bill</vt:lpstr>
      <vt:lpstr>Peru</vt:lpstr>
      <vt:lpstr>Analysis</vt:lpstr>
      <vt:lpstr>Pricing</vt:lpstr>
      <vt:lpstr>LILAC</vt:lpstr>
      <vt:lpstr>Questions</vt:lpstr>
      <vt:lpstr>Master old</vt:lpstr>
      <vt:lpstr>Valuation!Print_Area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Soomit Datta</dc:creator>
  <cp:lastModifiedBy>Soomit Datta</cp:lastModifiedBy>
  <cp:lastPrinted>2022-03-21T19:58:52Z</cp:lastPrinted>
  <dcterms:created xsi:type="dcterms:W3CDTF">2011-12-20T17:09:21Z</dcterms:created>
  <dcterms:modified xsi:type="dcterms:W3CDTF">2024-01-31T18:01:50Z</dcterms:modified>
</cp:coreProperties>
</file>